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80" tabRatio="334" firstSheet="1" activeTab="3"/>
  </bookViews>
  <sheets>
    <sheet name="1995-2000" sheetId="1" r:id="rId1"/>
    <sheet name="Kumulativ" sheetId="2" r:id="rId2"/>
    <sheet name="Digitale" sheetId="3" r:id="rId3"/>
    <sheet name="LEVERT" sheetId="4" r:id="rId4"/>
  </sheets>
  <definedNames>
    <definedName name="_1.halvår">'LEVERT'!$M$2</definedName>
    <definedName name="_1.kvartal">'LEVERT'!$G$2</definedName>
    <definedName name="_2.kvartal">'LEVERT'!$H$2</definedName>
    <definedName name="_3.kvartal">'LEVERT'!$I$2</definedName>
    <definedName name="_4.kvartal">'LEVERT'!$J$2</definedName>
    <definedName name="Imp">'LEVERT'!$A$2</definedName>
    <definedName name="Kl">'LEVERT'!$E$2</definedName>
    <definedName name="Modell">'LEVERT'!$C$2</definedName>
    <definedName name="Print_Title">'LEVERT'!$A$1:$K$2</definedName>
    <definedName name="Pris">'LEVERT'!$F$2</definedName>
    <definedName name="Prod">'LEVERT'!$B$2</definedName>
    <definedName name="Sum">'LEVERT'!$K$2</definedName>
    <definedName name="Total">'LEVERT'!$N$2</definedName>
    <definedName name="Type">'LEVERT'!$D$2</definedName>
    <definedName name="_xlnm.Print_Area" localSheetId="0">'1995-2000'!$A$1:$I$60</definedName>
    <definedName name="_xlnm.Print_Area" localSheetId="3">'LEVERT'!$A$1:$L$276</definedName>
    <definedName name="_xlnm.Print_Titles" localSheetId="3">'LEVERT'!$1:$2</definedName>
    <definedName name="EXTRACT" localSheetId="3">'LEVERT'!$A$255:$N$255</definedName>
    <definedName name="CRITERIA" localSheetId="3">'LEVERT'!$E$252:$F$254</definedName>
  </definedNames>
  <calcPr fullCalcOnLoad="1"/>
</workbook>
</file>

<file path=xl/sharedStrings.xml><?xml version="1.0" encoding="utf-8"?>
<sst xmlns="http://schemas.openxmlformats.org/spreadsheetml/2006/main" count="802" uniqueCount="248">
  <si>
    <t>1995</t>
  </si>
  <si>
    <t>1996</t>
  </si>
  <si>
    <t>1997</t>
  </si>
  <si>
    <t>AudioTek</t>
  </si>
  <si>
    <t>Audiotronics</t>
  </si>
  <si>
    <t>AurisMed</t>
  </si>
  <si>
    <t>Gewa</t>
  </si>
  <si>
    <t>Medisan</t>
  </si>
  <si>
    <t>Oticon</t>
  </si>
  <si>
    <t>Beltone (Philips)</t>
  </si>
  <si>
    <t>Phonak</t>
  </si>
  <si>
    <t>ReSound (Danavox)</t>
  </si>
  <si>
    <t>Starkey</t>
  </si>
  <si>
    <t>andre</t>
  </si>
  <si>
    <t>sum</t>
  </si>
  <si>
    <t>andre:</t>
  </si>
  <si>
    <t>3M</t>
  </si>
  <si>
    <t>Norsk Audio</t>
  </si>
  <si>
    <t>Imp</t>
  </si>
  <si>
    <t>Prod</t>
  </si>
  <si>
    <t>Modell</t>
  </si>
  <si>
    <t>Type</t>
  </si>
  <si>
    <t>Kl</t>
  </si>
  <si>
    <t xml:space="preserve">Pris </t>
  </si>
  <si>
    <t>1.kvartal</t>
  </si>
  <si>
    <t>2.kvartal</t>
  </si>
  <si>
    <t>3.kvartal</t>
  </si>
  <si>
    <t>4.kvartal</t>
  </si>
  <si>
    <t>Sum</t>
  </si>
  <si>
    <t>Pris</t>
  </si>
  <si>
    <t>m mva</t>
  </si>
  <si>
    <t>antall</t>
  </si>
  <si>
    <t>u mva</t>
  </si>
  <si>
    <t>AK</t>
  </si>
  <si>
    <t>HT</t>
  </si>
  <si>
    <t>STARTEC HA/49 2 C II</t>
  </si>
  <si>
    <t>BTE</t>
  </si>
  <si>
    <t>STARTEC ULTRA</t>
  </si>
  <si>
    <t>ITE</t>
  </si>
  <si>
    <t>STARTEC 700 CIC</t>
  </si>
  <si>
    <t>KAN</t>
  </si>
  <si>
    <t>DIXY/49</t>
  </si>
  <si>
    <t>3</t>
  </si>
  <si>
    <t>DIXY/49 POWER</t>
  </si>
  <si>
    <t>STARTEC HA/49 2 C-D</t>
  </si>
  <si>
    <t>sum AudioTek</t>
  </si>
  <si>
    <t>andel av total</t>
  </si>
  <si>
    <t>akkumulert sum</t>
  </si>
  <si>
    <t>AM</t>
  </si>
  <si>
    <t>RES</t>
  </si>
  <si>
    <t>2000 BT (med progam)/DIGITAL 2000</t>
  </si>
  <si>
    <t>SON</t>
  </si>
  <si>
    <t>UNI</t>
  </si>
  <si>
    <t>SOUND F/X 4 P eller P PRO</t>
  </si>
  <si>
    <t>SOUND F/X CUSTOM</t>
  </si>
  <si>
    <t>6</t>
  </si>
  <si>
    <t>SOUND F/X 4 eller PRO</t>
  </si>
  <si>
    <t>ICON AOHP +4 D</t>
  </si>
  <si>
    <t>ICON AOHP +4</t>
  </si>
  <si>
    <t>ICON-K/KD</t>
  </si>
  <si>
    <t>US80-S</t>
  </si>
  <si>
    <t>VT</t>
  </si>
  <si>
    <t>140 DUO</t>
  </si>
  <si>
    <t>CONTACT STAR 314</t>
  </si>
  <si>
    <t>BRI</t>
  </si>
  <si>
    <t>X 130 K</t>
  </si>
  <si>
    <t xml:space="preserve"> </t>
  </si>
  <si>
    <t>sum AurisMed</t>
  </si>
  <si>
    <t>AT</t>
  </si>
  <si>
    <t>RX</t>
  </si>
  <si>
    <t>PICCOLO K-AMP</t>
  </si>
  <si>
    <t>PICCOLO P-AO</t>
  </si>
  <si>
    <t>SIE</t>
  </si>
  <si>
    <t>PRISMA CT</t>
  </si>
  <si>
    <t>PRISMA BTE</t>
  </si>
  <si>
    <t>PRISMA P</t>
  </si>
  <si>
    <t>PRISMA CIC</t>
  </si>
  <si>
    <t>PRISMA IT</t>
  </si>
  <si>
    <t>SIGNIA</t>
  </si>
  <si>
    <t xml:space="preserve">VIVETTE </t>
  </si>
  <si>
    <t>INSITA  K-AMP</t>
  </si>
  <si>
    <t>sum Audiotronics</t>
  </si>
  <si>
    <t>BT</t>
  </si>
  <si>
    <t>PH</t>
  </si>
  <si>
    <t>D71</t>
  </si>
  <si>
    <t>D21</t>
  </si>
  <si>
    <t>D61</t>
  </si>
  <si>
    <t>21P (M/P 21P)</t>
  </si>
  <si>
    <t>46 (S46-O/OL)</t>
  </si>
  <si>
    <r>
      <t xml:space="preserve">61 </t>
    </r>
    <r>
      <rPr>
        <sz val="8.5"/>
        <rFont val="MS Sans Serif"/>
        <family val="0"/>
      </rPr>
      <t>(M61D/</t>
    </r>
    <r>
      <rPr>
        <b/>
        <sz val="8.5"/>
        <rFont val="MS Sans Serif"/>
        <family val="0"/>
      </rPr>
      <t>M61OD, M61P</t>
    </r>
    <r>
      <rPr>
        <sz val="8.5"/>
        <rFont val="MS Sans Serif"/>
        <family val="0"/>
      </rPr>
      <t>)</t>
    </r>
  </si>
  <si>
    <t>71 (M/P/S 71-O)</t>
  </si>
  <si>
    <t>D11 CIC</t>
  </si>
  <si>
    <t>71-P (P71-P/P2, S71-P/P2)</t>
  </si>
  <si>
    <t>3/5</t>
  </si>
  <si>
    <t>sum Beltone</t>
  </si>
  <si>
    <t>GW</t>
  </si>
  <si>
    <t>BF</t>
  </si>
  <si>
    <t>DUALINE 100 i</t>
  </si>
  <si>
    <t>SMILE 110/111</t>
  </si>
  <si>
    <t>SMILE 310/320/321</t>
  </si>
  <si>
    <t>DUALINE 200</t>
  </si>
  <si>
    <t>DUALINE 100</t>
  </si>
  <si>
    <t>sum Gewa</t>
  </si>
  <si>
    <t>ME</t>
  </si>
  <si>
    <t>WX</t>
  </si>
  <si>
    <t>P8X</t>
  </si>
  <si>
    <t>P8</t>
  </si>
  <si>
    <t>C8</t>
  </si>
  <si>
    <t>C18</t>
  </si>
  <si>
    <t xml:space="preserve">CX </t>
  </si>
  <si>
    <t>P38</t>
  </si>
  <si>
    <t>A3</t>
  </si>
  <si>
    <t>CIC</t>
  </si>
  <si>
    <t>C9</t>
  </si>
  <si>
    <t>C19</t>
  </si>
  <si>
    <r>
      <t>L8/L8S</t>
    </r>
    <r>
      <rPr>
        <sz val="8.5"/>
        <rFont val="MS Sans Serif"/>
        <family val="0"/>
      </rPr>
      <t>/L8E/L8SE</t>
    </r>
  </si>
  <si>
    <r>
      <t>L12</t>
    </r>
    <r>
      <rPr>
        <sz val="8.5"/>
        <rFont val="MS Sans Serif"/>
        <family val="0"/>
      </rPr>
      <t>/L12E</t>
    </r>
  </si>
  <si>
    <r>
      <t>L32</t>
    </r>
    <r>
      <rPr>
        <sz val="8.5"/>
        <rFont val="MS Sans Serif"/>
        <family val="0"/>
      </rPr>
      <t xml:space="preserve">/L32E </t>
    </r>
  </si>
  <si>
    <t>sum Medisan</t>
  </si>
  <si>
    <t>OT</t>
  </si>
  <si>
    <t>DIGIFOCUS COMPACT/COMPACT II</t>
  </si>
  <si>
    <t>DIGIFOCUS ITE/DIGIFOCUS II ITE</t>
  </si>
  <si>
    <t>DIGIFOCUS II COMPACT POWER</t>
  </si>
  <si>
    <t>DIGILIFE COMPACT/DIGILIFE.COM</t>
  </si>
  <si>
    <t>8</t>
  </si>
  <si>
    <t>380 P / 390 PL</t>
  </si>
  <si>
    <t xml:space="preserve">MULTIFOCUS COMPACT serien </t>
  </si>
  <si>
    <t>DIGILIFE ITE/DIGILIFE.COM ITE</t>
  </si>
  <si>
    <t>I 22 P COMMUNICARE m/T</t>
  </si>
  <si>
    <t>P 11 P</t>
  </si>
  <si>
    <t>KRP</t>
  </si>
  <si>
    <t>PERSONIC</t>
  </si>
  <si>
    <t>MF E36 serien (E36 og E36P)</t>
  </si>
  <si>
    <t>sum Oticon</t>
  </si>
  <si>
    <t>PK</t>
  </si>
  <si>
    <t>AS</t>
  </si>
  <si>
    <t>CLASSIC (T)</t>
  </si>
  <si>
    <t>DT</t>
  </si>
  <si>
    <t>CROS/BICROS</t>
  </si>
  <si>
    <t>NP</t>
  </si>
  <si>
    <t>HC 300/HC360</t>
  </si>
  <si>
    <t>CLARO 21dAZ</t>
  </si>
  <si>
    <t>CLARO 211dAZ</t>
  </si>
  <si>
    <t>CLARO 22</t>
  </si>
  <si>
    <t>SONOFORTE P3 AZ</t>
  </si>
  <si>
    <t>PICONET P2 AZ</t>
  </si>
  <si>
    <t>PICOFORTE(C,PPSC,SC2,PP-C-L)</t>
  </si>
  <si>
    <t>MikroZoom P2 AZ</t>
  </si>
  <si>
    <t>SUPERFRONT PP-C-L-4</t>
  </si>
  <si>
    <t>NOVOFORTE E4</t>
  </si>
  <si>
    <t>POWERZOOM P4 AZ</t>
  </si>
  <si>
    <t>NOVOFORTE E3</t>
  </si>
  <si>
    <t>PICONET P2</t>
  </si>
  <si>
    <t>ASTRO</t>
  </si>
  <si>
    <t>SONOFORTE 331X</t>
  </si>
  <si>
    <t>9000 SC</t>
  </si>
  <si>
    <t>sum Phonak</t>
  </si>
  <si>
    <t>DX</t>
  </si>
  <si>
    <t>163 D DANALOGIC</t>
  </si>
  <si>
    <t xml:space="preserve">501/501 D DANALOGIC </t>
  </si>
  <si>
    <t>163 DANASOUND</t>
  </si>
  <si>
    <t>173 DANASOUND</t>
  </si>
  <si>
    <t>151/501 DANASOUND</t>
  </si>
  <si>
    <t>107-2</t>
  </si>
  <si>
    <t>151 PREMIER</t>
  </si>
  <si>
    <t>145 DFS GENIUS</t>
  </si>
  <si>
    <t>153 PREMIER</t>
  </si>
  <si>
    <t>153 K-AMP (143 K-AMP II)</t>
  </si>
  <si>
    <t>RS</t>
  </si>
  <si>
    <t>Resound BT5</t>
  </si>
  <si>
    <t>131 CD</t>
  </si>
  <si>
    <t>107-1</t>
  </si>
  <si>
    <t>155 AMPLIUS</t>
  </si>
  <si>
    <t>153 AURA II</t>
  </si>
  <si>
    <t>sum GN ReSound</t>
  </si>
  <si>
    <t>ST</t>
  </si>
  <si>
    <t>ARIES D13</t>
  </si>
  <si>
    <t>GEMINI CC</t>
  </si>
  <si>
    <t>CUSTOM (CC,SE) SMART</t>
  </si>
  <si>
    <t>GEMINI CIC</t>
  </si>
  <si>
    <t>CETERA</t>
  </si>
  <si>
    <t>ARIES</t>
  </si>
  <si>
    <t>CUSTOM (CE) SMART</t>
  </si>
  <si>
    <t>PRIVATO SMART</t>
  </si>
  <si>
    <t>A13 SMART PROG</t>
  </si>
  <si>
    <t>A13 SMART</t>
  </si>
  <si>
    <t>ARIES CC</t>
  </si>
  <si>
    <t>A675 SMART AV</t>
  </si>
  <si>
    <t>5/4/6</t>
  </si>
  <si>
    <t>CUSTOM CE (Lin og K-amp)</t>
  </si>
  <si>
    <t>sum Starkey</t>
  </si>
  <si>
    <t>Høreapparater totalt, alle importører</t>
  </si>
  <si>
    <t>PS</t>
  </si>
  <si>
    <t>FJERNKONTROLL</t>
  </si>
  <si>
    <t>FJERNKONTROLL PICS</t>
  </si>
  <si>
    <t>SOUND PILOT</t>
  </si>
  <si>
    <t>Fjernkontroll for CETERA</t>
  </si>
  <si>
    <t>Sum fjernkontroller (her er det underrapportering)</t>
  </si>
  <si>
    <t>siste kv</t>
  </si>
  <si>
    <t>Bak øret</t>
  </si>
  <si>
    <t>I øret</t>
  </si>
  <si>
    <t>Kanal</t>
  </si>
  <si>
    <t>Kroppsbåret</t>
  </si>
  <si>
    <t>Andre</t>
  </si>
  <si>
    <t>Sum høreapparater</t>
  </si>
  <si>
    <t>Andel</t>
  </si>
  <si>
    <t>av sum</t>
  </si>
  <si>
    <t>Klasse 1: kroppsbårne</t>
  </si>
  <si>
    <t>Klasse 2: fjernkontroll og &gt;1 program</t>
  </si>
  <si>
    <t>Klasse 3: &gt;1 program</t>
  </si>
  <si>
    <t>Klasse 4: 0-2 kontroller</t>
  </si>
  <si>
    <t>Klasse 5: &gt;2 kontroller</t>
  </si>
  <si>
    <t>Klasse 6: ulineære</t>
  </si>
  <si>
    <t>Klasse 7: spesialapparater</t>
  </si>
  <si>
    <t>Klasse 8: digitale</t>
  </si>
  <si>
    <t>Andre, blandede klasser</t>
  </si>
  <si>
    <t>Antall dyre apparater</t>
  </si>
  <si>
    <t>&gt;3700</t>
  </si>
  <si>
    <t>Andel digitale apparater</t>
  </si>
  <si>
    <t xml:space="preserve">Antall modeller på lista </t>
  </si>
  <si>
    <t>av antall</t>
  </si>
  <si>
    <t>siste kv.</t>
  </si>
  <si>
    <t>ReSound</t>
  </si>
  <si>
    <t>Beltone</t>
  </si>
  <si>
    <t>Noen forklaringer:</t>
  </si>
  <si>
    <r>
      <t xml:space="preserve">Modellnavn i </t>
    </r>
    <r>
      <rPr>
        <b/>
        <sz val="8.5"/>
        <rFont val="MS Sans Serif"/>
        <family val="0"/>
      </rPr>
      <t>fet</t>
    </r>
    <r>
      <rPr>
        <sz val="8.5"/>
        <rFont val="MS Sans Serif"/>
        <family val="2"/>
      </rPr>
      <t xml:space="preserve"> stil er på kontrakt i siste kvartal</t>
    </r>
  </si>
  <si>
    <r>
      <t xml:space="preserve">Priser i </t>
    </r>
    <r>
      <rPr>
        <i/>
        <sz val="8.5"/>
        <rFont val="MS Sans Serif"/>
        <family val="0"/>
      </rPr>
      <t>kursiv</t>
    </r>
    <r>
      <rPr>
        <sz val="8.5"/>
        <rFont val="MS Sans Serif"/>
        <family val="2"/>
      </rPr>
      <t xml:space="preserve"> er usikre, bl a fordi de ikke er på kontrakt</t>
    </r>
  </si>
  <si>
    <t>&gt;300</t>
  </si>
  <si>
    <t>&gt;0</t>
  </si>
  <si>
    <t>GEMINI CE</t>
  </si>
  <si>
    <t>SIGNIA CIC</t>
  </si>
  <si>
    <t>SIGNIA CT</t>
  </si>
  <si>
    <t>SIGNIA IT</t>
  </si>
  <si>
    <t>TCI COMBI</t>
  </si>
  <si>
    <t>DIGIFOCUS COMPACT DIR.</t>
  </si>
  <si>
    <t>STARTEC DX/49 6C VC</t>
  </si>
  <si>
    <t>SOUND F/X P DIGITAL (NEXUS P)</t>
  </si>
  <si>
    <t>SOUND F/X C DIGITAL NEXUS C)</t>
  </si>
  <si>
    <t>SMILE 200</t>
  </si>
  <si>
    <t>SMILE 400</t>
  </si>
  <si>
    <t>RC-S</t>
  </si>
  <si>
    <t>SOUND F/X CIC DIGITAL(NEXUS CIC)</t>
  </si>
  <si>
    <t>hele 2000</t>
  </si>
  <si>
    <t>De mest solgte modellene</t>
  </si>
  <si>
    <t>Figurene kan merkes og skrives ut hver for seg</t>
  </si>
  <si>
    <t>%</t>
  </si>
  <si>
    <t>Antall</t>
  </si>
  <si>
    <t>År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</si>
</sst>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0%"/>
    <numFmt numFmtId="169" formatCode="0.00%"/>
    <numFmt numFmtId="170" formatCode="d\.m\.yy"/>
    <numFmt numFmtId="171" formatCode="d\.mmm\.yy"/>
    <numFmt numFmtId="172" formatCode="d\.mmm"/>
    <numFmt numFmtId="173" formatCode="mmm\.yy"/>
    <numFmt numFmtId="174" formatCode="h:mm"/>
    <numFmt numFmtId="175" formatCode="h:mm:ss"/>
    <numFmt numFmtId="176" formatCode="d\.m\.yy\ h:mm"/>
    <numFmt numFmtId="177" formatCode="0.0"/>
    <numFmt numFmtId="178" formatCode="0.0\ %"/>
    <numFmt numFmtId="179" formatCode="0.0%"/>
    <numFmt numFmtId="180" formatCode="0.00000000"/>
    <numFmt numFmtId="181" formatCode="0.000%"/>
    <numFmt numFmtId="182" formatCode="0.0000%"/>
    <numFmt numFmtId="183" formatCode="&quot;Ja&quot;;&quot;Ja&quot;;&quot;Nei&quot;"/>
    <numFmt numFmtId="184" formatCode="&quot;Sann&quot;;&quot;Sann&quot;;&quot;Usann&quot;"/>
    <numFmt numFmtId="185" formatCode="&quot;På&quot;;&quot;På&quot;;&quot;Av&quot;"/>
    <numFmt numFmtId="186" formatCode="#,##0.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b/>
      <sz val="10"/>
      <name val="Arial"/>
      <family val="0"/>
    </font>
    <font>
      <sz val="10"/>
      <name val="Arial"/>
      <family val="2"/>
    </font>
    <font>
      <b/>
      <sz val="8"/>
      <name val="Arial"/>
      <family val="0"/>
    </font>
    <font>
      <sz val="7"/>
      <name val="MS Sans Serif"/>
      <family val="2"/>
    </font>
    <font>
      <b/>
      <sz val="8"/>
      <name val="BR-02H"/>
      <family val="0"/>
    </font>
    <font>
      <b/>
      <i/>
      <sz val="8.5"/>
      <name val="MS Sans Serif"/>
      <family val="0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sz val="16.5"/>
      <name val="Arial"/>
      <family val="0"/>
    </font>
    <font>
      <sz val="1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177" fontId="5" fillId="0" borderId="3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14" xfId="15" applyNumberFormat="1" applyFont="1" applyBorder="1" applyAlignment="1">
      <alignment/>
    </xf>
    <xf numFmtId="179" fontId="5" fillId="0" borderId="0" xfId="15" applyNumberFormat="1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77" fontId="5" fillId="2" borderId="0" xfId="0" applyNumberFormat="1" applyFont="1" applyFill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1" fontId="5" fillId="0" borderId="0" xfId="0" applyNumberFormat="1" applyFont="1" applyBorder="1" applyAlignment="1" quotePrefix="1">
      <alignment/>
    </xf>
    <xf numFmtId="168" fontId="5" fillId="0" borderId="0" xfId="15" applyNumberFormat="1" applyFont="1" applyBorder="1" applyAlignment="1">
      <alignment/>
    </xf>
    <xf numFmtId="168" fontId="5" fillId="0" borderId="14" xfId="15" applyNumberFormat="1" applyFont="1" applyBorder="1" applyAlignment="1">
      <alignment/>
    </xf>
    <xf numFmtId="168" fontId="5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6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20" fontId="5" fillId="2" borderId="0" xfId="0" applyNumberFormat="1" applyFont="1" applyFill="1" applyBorder="1" applyAlignment="1" quotePrefix="1">
      <alignment/>
    </xf>
    <xf numFmtId="169" fontId="5" fillId="0" borderId="0" xfId="15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0" fontId="0" fillId="0" borderId="0" xfId="0" applyFont="1" applyAlignment="1">
      <alignment/>
    </xf>
    <xf numFmtId="1" fontId="5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3" fontId="5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6" fillId="3" borderId="23" xfId="0" applyFont="1" applyFill="1" applyBorder="1" applyAlignment="1">
      <alignment/>
    </xf>
    <xf numFmtId="0" fontId="5" fillId="3" borderId="14" xfId="0" applyFont="1" applyFill="1" applyBorder="1" applyAlignment="1">
      <alignment horizontal="left"/>
    </xf>
    <xf numFmtId="0" fontId="6" fillId="3" borderId="24" xfId="0" applyFont="1" applyFill="1" applyBorder="1" applyAlignment="1">
      <alignment/>
    </xf>
    <xf numFmtId="0" fontId="5" fillId="3" borderId="25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/>
    </xf>
    <xf numFmtId="0" fontId="5" fillId="3" borderId="3" xfId="0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68" fontId="5" fillId="0" borderId="6" xfId="15" applyFont="1" applyFill="1" applyBorder="1" applyAlignment="1">
      <alignment/>
    </xf>
    <xf numFmtId="0" fontId="0" fillId="0" borderId="6" xfId="0" applyFill="1" applyBorder="1" applyAlignment="1">
      <alignment/>
    </xf>
    <xf numFmtId="0" fontId="0" fillId="3" borderId="0" xfId="0" applyFill="1" applyBorder="1" applyAlignment="1">
      <alignment/>
    </xf>
    <xf numFmtId="168" fontId="5" fillId="3" borderId="0" xfId="15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179" fontId="11" fillId="0" borderId="0" xfId="15" applyNumberFormat="1" applyFont="1" applyBorder="1" applyAlignment="1">
      <alignment/>
    </xf>
    <xf numFmtId="168" fontId="11" fillId="0" borderId="6" xfId="15" applyFont="1" applyFill="1" applyBorder="1" applyAlignment="1">
      <alignment/>
    </xf>
    <xf numFmtId="0" fontId="6" fillId="0" borderId="13" xfId="0" applyFont="1" applyBorder="1" applyAlignment="1">
      <alignment horizontal="left"/>
    </xf>
    <xf numFmtId="3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179" fontId="5" fillId="0" borderId="3" xfId="15" applyNumberFormat="1" applyFont="1" applyBorder="1" applyAlignment="1">
      <alignment/>
    </xf>
    <xf numFmtId="179" fontId="5" fillId="0" borderId="29" xfId="15" applyNumberFormat="1" applyFont="1" applyBorder="1" applyAlignment="1">
      <alignment/>
    </xf>
    <xf numFmtId="169" fontId="0" fillId="0" borderId="0" xfId="15" applyNumberFormat="1" applyAlignment="1">
      <alignment/>
    </xf>
    <xf numFmtId="169" fontId="0" fillId="0" borderId="0" xfId="0" applyNumberFormat="1" applyAlignment="1">
      <alignment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68" fontId="5" fillId="0" borderId="20" xfId="15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3" fontId="0" fillId="0" borderId="0" xfId="0" applyNumberForma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9" fontId="0" fillId="0" borderId="0" xfId="0" applyNumberFormat="1" applyAlignment="1">
      <alignment/>
    </xf>
    <xf numFmtId="3" fontId="0" fillId="0" borderId="0" xfId="16" applyNumberFormat="1" applyAlignment="1">
      <alignment/>
    </xf>
    <xf numFmtId="3" fontId="5" fillId="0" borderId="0" xfId="16" applyNumberFormat="1" applyFont="1" applyBorder="1" applyAlignment="1">
      <alignment/>
    </xf>
    <xf numFmtId="3" fontId="5" fillId="0" borderId="2" xfId="16" applyNumberFormat="1" applyFont="1" applyBorder="1" applyAlignment="1">
      <alignment/>
    </xf>
    <xf numFmtId="0" fontId="1" fillId="0" borderId="0" xfId="0" applyFont="1" applyAlignment="1">
      <alignment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RTV-apparater pr år</a:t>
            </a:r>
          </a:p>
        </c:rich>
      </c:tx>
      <c:layout>
        <c:manualLayout>
          <c:xMode val="factor"/>
          <c:yMode val="factor"/>
          <c:x val="0.0042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75"/>
          <c:w val="0.978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'1995-2000'!$B$1</c:f>
              <c:strCache>
                <c:ptCount val="1"/>
                <c:pt idx="0">
                  <c:v>1995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'1995-2000'!$A$2:$A$13</c:f>
              <c:strCache>
                <c:ptCount val="12"/>
                <c:pt idx="0">
                  <c:v>AudioTek</c:v>
                </c:pt>
                <c:pt idx="1">
                  <c:v>Audiotronics</c:v>
                </c:pt>
                <c:pt idx="2">
                  <c:v>AurisMed</c:v>
                </c:pt>
                <c:pt idx="3">
                  <c:v>Gewa</c:v>
                </c:pt>
                <c:pt idx="4">
                  <c:v>Medisan</c:v>
                </c:pt>
                <c:pt idx="5">
                  <c:v>Oticon</c:v>
                </c:pt>
                <c:pt idx="6">
                  <c:v>Beltone (Philips)</c:v>
                </c:pt>
                <c:pt idx="7">
                  <c:v>Phonak</c:v>
                </c:pt>
                <c:pt idx="8">
                  <c:v>ReSound (Danavox)</c:v>
                </c:pt>
                <c:pt idx="9">
                  <c:v>Starkey</c:v>
                </c:pt>
                <c:pt idx="10">
                  <c:v>andre</c:v>
                </c:pt>
                <c:pt idx="11">
                  <c:v>sum</c:v>
                </c:pt>
              </c:strCache>
            </c:strRef>
          </c:cat>
          <c:val>
            <c:numRef>
              <c:f>'1995-2000'!$B$2:$B$13</c:f>
              <c:numCache>
                <c:ptCount val="12"/>
                <c:pt idx="0">
                  <c:v>0</c:v>
                </c:pt>
                <c:pt idx="1">
                  <c:v>2627</c:v>
                </c:pt>
                <c:pt idx="2">
                  <c:v>2128</c:v>
                </c:pt>
                <c:pt idx="3">
                  <c:v>794</c:v>
                </c:pt>
                <c:pt idx="4">
                  <c:v>5077</c:v>
                </c:pt>
                <c:pt idx="5">
                  <c:v>5535</c:v>
                </c:pt>
                <c:pt idx="6">
                  <c:v>3920</c:v>
                </c:pt>
                <c:pt idx="7">
                  <c:v>2550</c:v>
                </c:pt>
                <c:pt idx="8">
                  <c:v>10313</c:v>
                </c:pt>
                <c:pt idx="9">
                  <c:v>361</c:v>
                </c:pt>
                <c:pt idx="10">
                  <c:v>608</c:v>
                </c:pt>
                <c:pt idx="11">
                  <c:v>33913</c:v>
                </c:pt>
              </c:numCache>
            </c:numRef>
          </c:val>
        </c:ser>
        <c:ser>
          <c:idx val="1"/>
          <c:order val="1"/>
          <c:tx>
            <c:strRef>
              <c:f>'1995-2000'!$C$1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'1995-2000'!$A$2:$A$13</c:f>
              <c:strCache>
                <c:ptCount val="12"/>
                <c:pt idx="0">
                  <c:v>AudioTek</c:v>
                </c:pt>
                <c:pt idx="1">
                  <c:v>Audiotronics</c:v>
                </c:pt>
                <c:pt idx="2">
                  <c:v>AurisMed</c:v>
                </c:pt>
                <c:pt idx="3">
                  <c:v>Gewa</c:v>
                </c:pt>
                <c:pt idx="4">
                  <c:v>Medisan</c:v>
                </c:pt>
                <c:pt idx="5">
                  <c:v>Oticon</c:v>
                </c:pt>
                <c:pt idx="6">
                  <c:v>Beltone (Philips)</c:v>
                </c:pt>
                <c:pt idx="7">
                  <c:v>Phonak</c:v>
                </c:pt>
                <c:pt idx="8">
                  <c:v>ReSound (Danavox)</c:v>
                </c:pt>
                <c:pt idx="9">
                  <c:v>Starkey</c:v>
                </c:pt>
                <c:pt idx="10">
                  <c:v>andre</c:v>
                </c:pt>
                <c:pt idx="11">
                  <c:v>sum</c:v>
                </c:pt>
              </c:strCache>
            </c:strRef>
          </c:cat>
          <c:val>
            <c:numRef>
              <c:f>'1995-2000'!$C$2:$C$13</c:f>
              <c:numCache>
                <c:ptCount val="12"/>
                <c:pt idx="0">
                  <c:v>200</c:v>
                </c:pt>
                <c:pt idx="1">
                  <c:v>2648</c:v>
                </c:pt>
                <c:pt idx="2">
                  <c:v>2234</c:v>
                </c:pt>
                <c:pt idx="3">
                  <c:v>395</c:v>
                </c:pt>
                <c:pt idx="4">
                  <c:v>5298</c:v>
                </c:pt>
                <c:pt idx="5">
                  <c:v>5032</c:v>
                </c:pt>
                <c:pt idx="6">
                  <c:v>4120</c:v>
                </c:pt>
                <c:pt idx="7">
                  <c:v>2213</c:v>
                </c:pt>
                <c:pt idx="8">
                  <c:v>7526</c:v>
                </c:pt>
                <c:pt idx="9">
                  <c:v>3030</c:v>
                </c:pt>
                <c:pt idx="10">
                  <c:v>256</c:v>
                </c:pt>
                <c:pt idx="11">
                  <c:v>32952</c:v>
                </c:pt>
              </c:numCache>
            </c:numRef>
          </c:val>
        </c:ser>
        <c:ser>
          <c:idx val="2"/>
          <c:order val="2"/>
          <c:tx>
            <c:strRef>
              <c:f>'1995-2000'!$D$1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'1995-2000'!$A$2:$A$13</c:f>
              <c:strCache>
                <c:ptCount val="12"/>
                <c:pt idx="0">
                  <c:v>AudioTek</c:v>
                </c:pt>
                <c:pt idx="1">
                  <c:v>Audiotronics</c:v>
                </c:pt>
                <c:pt idx="2">
                  <c:v>AurisMed</c:v>
                </c:pt>
                <c:pt idx="3">
                  <c:v>Gewa</c:v>
                </c:pt>
                <c:pt idx="4">
                  <c:v>Medisan</c:v>
                </c:pt>
                <c:pt idx="5">
                  <c:v>Oticon</c:v>
                </c:pt>
                <c:pt idx="6">
                  <c:v>Beltone (Philips)</c:v>
                </c:pt>
                <c:pt idx="7">
                  <c:v>Phonak</c:v>
                </c:pt>
                <c:pt idx="8">
                  <c:v>ReSound (Danavox)</c:v>
                </c:pt>
                <c:pt idx="9">
                  <c:v>Starkey</c:v>
                </c:pt>
                <c:pt idx="10">
                  <c:v>andre</c:v>
                </c:pt>
                <c:pt idx="11">
                  <c:v>sum</c:v>
                </c:pt>
              </c:strCache>
            </c:strRef>
          </c:cat>
          <c:val>
            <c:numRef>
              <c:f>'1995-2000'!$D$2:$D$13</c:f>
              <c:numCache>
                <c:ptCount val="12"/>
                <c:pt idx="0">
                  <c:v>470</c:v>
                </c:pt>
                <c:pt idx="1">
                  <c:v>2193</c:v>
                </c:pt>
                <c:pt idx="2">
                  <c:v>1556</c:v>
                </c:pt>
                <c:pt idx="3">
                  <c:v>353</c:v>
                </c:pt>
                <c:pt idx="4">
                  <c:v>9329</c:v>
                </c:pt>
                <c:pt idx="5">
                  <c:v>5359</c:v>
                </c:pt>
                <c:pt idx="6">
                  <c:v>2912</c:v>
                </c:pt>
                <c:pt idx="7">
                  <c:v>1731</c:v>
                </c:pt>
                <c:pt idx="8">
                  <c:v>5870</c:v>
                </c:pt>
                <c:pt idx="9">
                  <c:v>4962</c:v>
                </c:pt>
                <c:pt idx="10">
                  <c:v>0</c:v>
                </c:pt>
                <c:pt idx="11">
                  <c:v>34735</c:v>
                </c:pt>
              </c:numCache>
            </c:numRef>
          </c:val>
        </c:ser>
        <c:ser>
          <c:idx val="3"/>
          <c:order val="3"/>
          <c:tx>
            <c:strRef>
              <c:f>'1995-2000'!$E$1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'1995-2000'!$A$2:$A$13</c:f>
              <c:strCache>
                <c:ptCount val="12"/>
                <c:pt idx="0">
                  <c:v>AudioTek</c:v>
                </c:pt>
                <c:pt idx="1">
                  <c:v>Audiotronics</c:v>
                </c:pt>
                <c:pt idx="2">
                  <c:v>AurisMed</c:v>
                </c:pt>
                <c:pt idx="3">
                  <c:v>Gewa</c:v>
                </c:pt>
                <c:pt idx="4">
                  <c:v>Medisan</c:v>
                </c:pt>
                <c:pt idx="5">
                  <c:v>Oticon</c:v>
                </c:pt>
                <c:pt idx="6">
                  <c:v>Beltone (Philips)</c:v>
                </c:pt>
                <c:pt idx="7">
                  <c:v>Phonak</c:v>
                </c:pt>
                <c:pt idx="8">
                  <c:v>ReSound (Danavox)</c:v>
                </c:pt>
                <c:pt idx="9">
                  <c:v>Starkey</c:v>
                </c:pt>
                <c:pt idx="10">
                  <c:v>andre</c:v>
                </c:pt>
                <c:pt idx="11">
                  <c:v>sum</c:v>
                </c:pt>
              </c:strCache>
            </c:strRef>
          </c:cat>
          <c:val>
            <c:numRef>
              <c:f>'1995-2000'!$E$2:$E$13</c:f>
              <c:numCache>
                <c:ptCount val="12"/>
                <c:pt idx="0">
                  <c:v>626</c:v>
                </c:pt>
                <c:pt idx="1">
                  <c:v>2228</c:v>
                </c:pt>
                <c:pt idx="2">
                  <c:v>1532</c:v>
                </c:pt>
                <c:pt idx="3">
                  <c:v>1130</c:v>
                </c:pt>
                <c:pt idx="4">
                  <c:v>11886</c:v>
                </c:pt>
                <c:pt idx="5">
                  <c:v>9368</c:v>
                </c:pt>
                <c:pt idx="6">
                  <c:v>2230</c:v>
                </c:pt>
                <c:pt idx="7">
                  <c:v>2179</c:v>
                </c:pt>
                <c:pt idx="8">
                  <c:v>3831</c:v>
                </c:pt>
                <c:pt idx="9">
                  <c:v>4768</c:v>
                </c:pt>
                <c:pt idx="10">
                  <c:v>0</c:v>
                </c:pt>
                <c:pt idx="11">
                  <c:v>39778</c:v>
                </c:pt>
              </c:numCache>
            </c:numRef>
          </c:val>
        </c:ser>
        <c:ser>
          <c:idx val="4"/>
          <c:order val="4"/>
          <c:tx>
            <c:strRef>
              <c:f>'1995-2000'!$F$1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'1995-2000'!$A$2:$A$13</c:f>
              <c:strCache>
                <c:ptCount val="12"/>
                <c:pt idx="0">
                  <c:v>AudioTek</c:v>
                </c:pt>
                <c:pt idx="1">
                  <c:v>Audiotronics</c:v>
                </c:pt>
                <c:pt idx="2">
                  <c:v>AurisMed</c:v>
                </c:pt>
                <c:pt idx="3">
                  <c:v>Gewa</c:v>
                </c:pt>
                <c:pt idx="4">
                  <c:v>Medisan</c:v>
                </c:pt>
                <c:pt idx="5">
                  <c:v>Oticon</c:v>
                </c:pt>
                <c:pt idx="6">
                  <c:v>Beltone (Philips)</c:v>
                </c:pt>
                <c:pt idx="7">
                  <c:v>Phonak</c:v>
                </c:pt>
                <c:pt idx="8">
                  <c:v>ReSound (Danavox)</c:v>
                </c:pt>
                <c:pt idx="9">
                  <c:v>Starkey</c:v>
                </c:pt>
                <c:pt idx="10">
                  <c:v>andre</c:v>
                </c:pt>
                <c:pt idx="11">
                  <c:v>sum</c:v>
                </c:pt>
              </c:strCache>
            </c:strRef>
          </c:cat>
          <c:val>
            <c:numRef>
              <c:f>'1995-2000'!$F$2:$F$13</c:f>
              <c:numCache>
                <c:ptCount val="12"/>
                <c:pt idx="0">
                  <c:v>1529</c:v>
                </c:pt>
                <c:pt idx="1">
                  <c:v>2158</c:v>
                </c:pt>
                <c:pt idx="2">
                  <c:v>1470</c:v>
                </c:pt>
                <c:pt idx="3">
                  <c:v>1501</c:v>
                </c:pt>
                <c:pt idx="4">
                  <c:v>12780</c:v>
                </c:pt>
                <c:pt idx="5">
                  <c:v>10584</c:v>
                </c:pt>
                <c:pt idx="6">
                  <c:v>1921</c:v>
                </c:pt>
                <c:pt idx="7">
                  <c:v>2655</c:v>
                </c:pt>
                <c:pt idx="8">
                  <c:v>4879</c:v>
                </c:pt>
                <c:pt idx="9">
                  <c:v>4191</c:v>
                </c:pt>
                <c:pt idx="10">
                  <c:v>0</c:v>
                </c:pt>
                <c:pt idx="11">
                  <c:v>43668</c:v>
                </c:pt>
              </c:numCache>
            </c:numRef>
          </c:val>
        </c:ser>
        <c:ser>
          <c:idx val="5"/>
          <c:order val="5"/>
          <c:tx>
            <c:strRef>
              <c:f>'1995-2000'!$G$1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'1995-2000'!$A$2:$A$13</c:f>
              <c:strCache>
                <c:ptCount val="12"/>
                <c:pt idx="0">
                  <c:v>AudioTek</c:v>
                </c:pt>
                <c:pt idx="1">
                  <c:v>Audiotronics</c:v>
                </c:pt>
                <c:pt idx="2">
                  <c:v>AurisMed</c:v>
                </c:pt>
                <c:pt idx="3">
                  <c:v>Gewa</c:v>
                </c:pt>
                <c:pt idx="4">
                  <c:v>Medisan</c:v>
                </c:pt>
                <c:pt idx="5">
                  <c:v>Oticon</c:v>
                </c:pt>
                <c:pt idx="6">
                  <c:v>Beltone (Philips)</c:v>
                </c:pt>
                <c:pt idx="7">
                  <c:v>Phonak</c:v>
                </c:pt>
                <c:pt idx="8">
                  <c:v>ReSound (Danavox)</c:v>
                </c:pt>
                <c:pt idx="9">
                  <c:v>Starkey</c:v>
                </c:pt>
                <c:pt idx="10">
                  <c:v>andre</c:v>
                </c:pt>
                <c:pt idx="11">
                  <c:v>sum</c:v>
                </c:pt>
              </c:strCache>
            </c:strRef>
          </c:cat>
          <c:val>
            <c:numRef>
              <c:f>'1995-2000'!$G$2:$G$13</c:f>
              <c:numCache>
                <c:ptCount val="12"/>
                <c:pt idx="0">
                  <c:v>2994</c:v>
                </c:pt>
                <c:pt idx="1">
                  <c:v>2955</c:v>
                </c:pt>
                <c:pt idx="2">
                  <c:v>1324</c:v>
                </c:pt>
                <c:pt idx="3">
                  <c:v>1672</c:v>
                </c:pt>
                <c:pt idx="4">
                  <c:v>14000</c:v>
                </c:pt>
                <c:pt idx="5">
                  <c:v>10346</c:v>
                </c:pt>
                <c:pt idx="6">
                  <c:v>3955</c:v>
                </c:pt>
                <c:pt idx="7">
                  <c:v>3630</c:v>
                </c:pt>
                <c:pt idx="8">
                  <c:v>5252</c:v>
                </c:pt>
                <c:pt idx="9">
                  <c:v>3955</c:v>
                </c:pt>
                <c:pt idx="10">
                  <c:v>0</c:v>
                </c:pt>
                <c:pt idx="11">
                  <c:v>50083</c:v>
                </c:pt>
              </c:numCache>
            </c:numRef>
          </c:val>
        </c:ser>
        <c:axId val="6643605"/>
        <c:axId val="59792446"/>
      </c:barChart>
      <c:catAx>
        <c:axId val="6643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92446"/>
        <c:crosses val="autoZero"/>
        <c:auto val="0"/>
        <c:lblOffset val="100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36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9725"/>
          <c:y val="0.331"/>
          <c:w val="0.10375"/>
          <c:h val="0.33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8105"/>
          <c:h val="0.917"/>
        </c:manualLayout>
      </c:layout>
      <c:areaChart>
        <c:grouping val="percentStacked"/>
        <c:varyColors val="0"/>
        <c:ser>
          <c:idx val="0"/>
          <c:order val="0"/>
          <c:tx>
            <c:strRef>
              <c:f>'1995-2000'!$A$2</c:f>
              <c:strCache>
                <c:ptCount val="1"/>
                <c:pt idx="0">
                  <c:v>AudioTek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"/>
          <c:tx>
            <c:strRef>
              <c:f>'1995-2000'!$A$3</c:f>
              <c:strCache>
                <c:ptCount val="1"/>
                <c:pt idx="0">
                  <c:v>Audiotronics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2"/>
          <c:tx>
            <c:strRef>
              <c:f>'1995-2000'!$A$4</c:f>
              <c:strCache>
                <c:ptCount val="1"/>
                <c:pt idx="0">
                  <c:v>AurisMed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3"/>
          <c:tx>
            <c:strRef>
              <c:f>'1995-2000'!$A$5</c:f>
              <c:strCache>
                <c:ptCount val="1"/>
                <c:pt idx="0">
                  <c:v>Gewa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4"/>
          <c:tx>
            <c:strRef>
              <c:f>'1995-2000'!$A$6</c:f>
              <c:strCache>
                <c:ptCount val="1"/>
                <c:pt idx="0">
                  <c:v>Medisan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5"/>
          <c:tx>
            <c:strRef>
              <c:f>'1995-2000'!$A$7</c:f>
              <c:strCache>
                <c:ptCount val="1"/>
                <c:pt idx="0">
                  <c:v>Oticon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6"/>
          <c:tx>
            <c:strRef>
              <c:f>'1995-2000'!$A$8</c:f>
              <c:strCache>
                <c:ptCount val="1"/>
                <c:pt idx="0">
                  <c:v>Beltone (Philips)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7"/>
          <c:tx>
            <c:strRef>
              <c:f>'1995-2000'!$A$9</c:f>
              <c:strCache>
                <c:ptCount val="1"/>
                <c:pt idx="0">
                  <c:v>Phonak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8"/>
          <c:tx>
            <c:strRef>
              <c:f>'1995-2000'!$A$10</c:f>
              <c:strCache>
                <c:ptCount val="1"/>
                <c:pt idx="0">
                  <c:v>ReSound (Danavox)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9"/>
          <c:tx>
            <c:strRef>
              <c:f>'1995-2000'!$A$11</c:f>
              <c:strCache>
                <c:ptCount val="1"/>
                <c:pt idx="0">
                  <c:v>Starkey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0"/>
          <c:tx>
            <c:strRef>
              <c:f>'1995-2000'!$A$12</c:f>
              <c:strCache>
                <c:ptCount val="1"/>
                <c:pt idx="0">
                  <c:v>andre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'1995-2000'!$B$1:$G$1</c:f>
              <c:strCache/>
            </c:strRef>
          </c:cat>
          <c:val>
            <c:numRef>
              <c:f>'1995-2000'!$B$12:$G$12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61103"/>
        <c:axId val="11349928"/>
      </c:areaChart>
      <c:catAx>
        <c:axId val="1261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49928"/>
        <c:crosses val="autoZero"/>
        <c:auto val="0"/>
        <c:lblOffset val="100"/>
        <c:noMultiLvlLbl val="0"/>
      </c:catAx>
      <c:valAx>
        <c:axId val="11349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61103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5"/>
          <c:w val="0.792"/>
          <c:h val="0.91"/>
        </c:manualLayout>
      </c:layout>
      <c:areaChart>
        <c:grouping val="stacked"/>
        <c:varyColors val="0"/>
        <c:ser>
          <c:idx val="0"/>
          <c:order val="0"/>
          <c:tx>
            <c:strRef>
              <c:f>'1995-2000'!$A$2</c:f>
              <c:strCache>
                <c:ptCount val="1"/>
                <c:pt idx="0">
                  <c:v>AudioTek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'1995-2000'!$B$2:$G$2</c:f>
              <c:numCache>
                <c:ptCount val="6"/>
                <c:pt idx="0">
                  <c:v>0</c:v>
                </c:pt>
                <c:pt idx="1">
                  <c:v>200</c:v>
                </c:pt>
                <c:pt idx="2">
                  <c:v>470</c:v>
                </c:pt>
                <c:pt idx="3">
                  <c:v>626</c:v>
                </c:pt>
                <c:pt idx="4">
                  <c:v>1529</c:v>
                </c:pt>
                <c:pt idx="5">
                  <c:v>2994</c:v>
                </c:pt>
              </c:numCache>
            </c:numRef>
          </c:val>
        </c:ser>
        <c:ser>
          <c:idx val="10"/>
          <c:order val="1"/>
          <c:tx>
            <c:strRef>
              <c:f>'1995-2000'!$A$3</c:f>
              <c:strCache>
                <c:ptCount val="1"/>
                <c:pt idx="0">
                  <c:v>Audiotronics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'1995-2000'!$B$3:$G$3</c:f>
              <c:numCache>
                <c:ptCount val="6"/>
                <c:pt idx="0">
                  <c:v>2627</c:v>
                </c:pt>
                <c:pt idx="1">
                  <c:v>2648</c:v>
                </c:pt>
                <c:pt idx="2">
                  <c:v>2193</c:v>
                </c:pt>
                <c:pt idx="3">
                  <c:v>2228</c:v>
                </c:pt>
                <c:pt idx="4">
                  <c:v>2158</c:v>
                </c:pt>
                <c:pt idx="5">
                  <c:v>2955</c:v>
                </c:pt>
              </c:numCache>
            </c:numRef>
          </c:val>
        </c:ser>
        <c:ser>
          <c:idx val="9"/>
          <c:order val="2"/>
          <c:tx>
            <c:strRef>
              <c:f>'1995-2000'!$A$4</c:f>
              <c:strCache>
                <c:ptCount val="1"/>
                <c:pt idx="0">
                  <c:v>AurisMed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'1995-2000'!$B$4:$G$4</c:f>
              <c:numCache>
                <c:ptCount val="6"/>
                <c:pt idx="0">
                  <c:v>2128</c:v>
                </c:pt>
                <c:pt idx="1">
                  <c:v>2234</c:v>
                </c:pt>
                <c:pt idx="2">
                  <c:v>1556</c:v>
                </c:pt>
                <c:pt idx="3">
                  <c:v>1532</c:v>
                </c:pt>
                <c:pt idx="4">
                  <c:v>1470</c:v>
                </c:pt>
                <c:pt idx="5">
                  <c:v>1324</c:v>
                </c:pt>
              </c:numCache>
            </c:numRef>
          </c:val>
        </c:ser>
        <c:ser>
          <c:idx val="8"/>
          <c:order val="3"/>
          <c:tx>
            <c:strRef>
              <c:f>'1995-2000'!$A$5</c:f>
              <c:strCache>
                <c:ptCount val="1"/>
                <c:pt idx="0">
                  <c:v>Gewa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'1995-2000'!$B$5:$G$5</c:f>
              <c:numCache>
                <c:ptCount val="6"/>
                <c:pt idx="0">
                  <c:v>794</c:v>
                </c:pt>
                <c:pt idx="1">
                  <c:v>395</c:v>
                </c:pt>
                <c:pt idx="2">
                  <c:v>353</c:v>
                </c:pt>
                <c:pt idx="3">
                  <c:v>1130</c:v>
                </c:pt>
                <c:pt idx="4">
                  <c:v>1501</c:v>
                </c:pt>
                <c:pt idx="5">
                  <c:v>1672</c:v>
                </c:pt>
              </c:numCache>
            </c:numRef>
          </c:val>
        </c:ser>
        <c:ser>
          <c:idx val="7"/>
          <c:order val="4"/>
          <c:tx>
            <c:strRef>
              <c:f>'1995-2000'!$A$6</c:f>
              <c:strCache>
                <c:ptCount val="1"/>
                <c:pt idx="0">
                  <c:v>Medisan</c:v>
                </c:pt>
              </c:strCache>
            </c:strRef>
          </c:tx>
          <c:spPr>
            <a:solidFill>
              <a:srgbClr val="FFFF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'1995-2000'!$B$6:$G$6</c:f>
              <c:numCache>
                <c:ptCount val="6"/>
                <c:pt idx="0">
                  <c:v>5077</c:v>
                </c:pt>
                <c:pt idx="1">
                  <c:v>5298</c:v>
                </c:pt>
                <c:pt idx="2">
                  <c:v>9329</c:v>
                </c:pt>
                <c:pt idx="3">
                  <c:v>11886</c:v>
                </c:pt>
                <c:pt idx="4">
                  <c:v>12780</c:v>
                </c:pt>
                <c:pt idx="5">
                  <c:v>14000</c:v>
                </c:pt>
              </c:numCache>
            </c:numRef>
          </c:val>
        </c:ser>
        <c:ser>
          <c:idx val="6"/>
          <c:order val="5"/>
          <c:tx>
            <c:strRef>
              <c:f>'1995-2000'!$A$7</c:f>
              <c:strCache>
                <c:ptCount val="1"/>
                <c:pt idx="0">
                  <c:v>Oticon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'1995-2000'!$B$7:$G$7</c:f>
              <c:numCache>
                <c:ptCount val="6"/>
                <c:pt idx="0">
                  <c:v>5535</c:v>
                </c:pt>
                <c:pt idx="1">
                  <c:v>5032</c:v>
                </c:pt>
                <c:pt idx="2">
                  <c:v>5359</c:v>
                </c:pt>
                <c:pt idx="3">
                  <c:v>9368</c:v>
                </c:pt>
                <c:pt idx="4">
                  <c:v>10584</c:v>
                </c:pt>
                <c:pt idx="5">
                  <c:v>10346</c:v>
                </c:pt>
              </c:numCache>
            </c:numRef>
          </c:val>
        </c:ser>
        <c:ser>
          <c:idx val="5"/>
          <c:order val="6"/>
          <c:tx>
            <c:strRef>
              <c:f>'1995-2000'!$A$8</c:f>
              <c:strCache>
                <c:ptCount val="1"/>
                <c:pt idx="0">
                  <c:v>Beltone (Philips)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'1995-2000'!$B$8:$G$8</c:f>
              <c:numCache>
                <c:ptCount val="6"/>
                <c:pt idx="0">
                  <c:v>3920</c:v>
                </c:pt>
                <c:pt idx="1">
                  <c:v>4120</c:v>
                </c:pt>
                <c:pt idx="2">
                  <c:v>2912</c:v>
                </c:pt>
                <c:pt idx="3">
                  <c:v>2230</c:v>
                </c:pt>
                <c:pt idx="4">
                  <c:v>1921</c:v>
                </c:pt>
                <c:pt idx="5">
                  <c:v>3955</c:v>
                </c:pt>
              </c:numCache>
            </c:numRef>
          </c:val>
        </c:ser>
        <c:ser>
          <c:idx val="4"/>
          <c:order val="7"/>
          <c:tx>
            <c:strRef>
              <c:f>'1995-2000'!$A$9</c:f>
              <c:strCache>
                <c:ptCount val="1"/>
                <c:pt idx="0">
                  <c:v>Phonak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'1995-2000'!$B$9:$G$9</c:f>
              <c:numCache>
                <c:ptCount val="6"/>
                <c:pt idx="0">
                  <c:v>2550</c:v>
                </c:pt>
                <c:pt idx="1">
                  <c:v>2213</c:v>
                </c:pt>
                <c:pt idx="2">
                  <c:v>1731</c:v>
                </c:pt>
                <c:pt idx="3">
                  <c:v>2179</c:v>
                </c:pt>
                <c:pt idx="4">
                  <c:v>2655</c:v>
                </c:pt>
                <c:pt idx="5">
                  <c:v>3630</c:v>
                </c:pt>
              </c:numCache>
            </c:numRef>
          </c:val>
        </c:ser>
        <c:ser>
          <c:idx val="3"/>
          <c:order val="8"/>
          <c:tx>
            <c:strRef>
              <c:f>'1995-2000'!$A$10</c:f>
              <c:strCache>
                <c:ptCount val="1"/>
                <c:pt idx="0">
                  <c:v>ReSound (Danavox)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'1995-2000'!$B$10:$G$10</c:f>
              <c:numCache>
                <c:ptCount val="6"/>
                <c:pt idx="0">
                  <c:v>10313</c:v>
                </c:pt>
                <c:pt idx="1">
                  <c:v>7526</c:v>
                </c:pt>
                <c:pt idx="2">
                  <c:v>5870</c:v>
                </c:pt>
                <c:pt idx="3">
                  <c:v>3831</c:v>
                </c:pt>
                <c:pt idx="4">
                  <c:v>4879</c:v>
                </c:pt>
                <c:pt idx="5">
                  <c:v>5252</c:v>
                </c:pt>
              </c:numCache>
            </c:numRef>
          </c:val>
        </c:ser>
        <c:ser>
          <c:idx val="2"/>
          <c:order val="9"/>
          <c:tx>
            <c:strRef>
              <c:f>'1995-2000'!$A$11</c:f>
              <c:strCache>
                <c:ptCount val="1"/>
                <c:pt idx="0">
                  <c:v>Starkey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'1995-2000'!$B$11:$G$11</c:f>
              <c:numCache>
                <c:ptCount val="6"/>
                <c:pt idx="0">
                  <c:v>361</c:v>
                </c:pt>
                <c:pt idx="1">
                  <c:v>3030</c:v>
                </c:pt>
                <c:pt idx="2">
                  <c:v>4962</c:v>
                </c:pt>
                <c:pt idx="3">
                  <c:v>4768</c:v>
                </c:pt>
                <c:pt idx="4">
                  <c:v>4191</c:v>
                </c:pt>
                <c:pt idx="5">
                  <c:v>3955</c:v>
                </c:pt>
              </c:numCache>
            </c:numRef>
          </c:val>
        </c:ser>
        <c:ser>
          <c:idx val="1"/>
          <c:order val="10"/>
          <c:tx>
            <c:strRef>
              <c:f>'1995-2000'!$A$12</c:f>
              <c:strCache>
                <c:ptCount val="1"/>
                <c:pt idx="0">
                  <c:v>andre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'1995-2000'!$B$1:$G$1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'1995-2000'!$B$12:$G$12</c:f>
              <c:numCache>
                <c:ptCount val="6"/>
                <c:pt idx="0">
                  <c:v>608</c:v>
                </c:pt>
                <c:pt idx="1">
                  <c:v>256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5040489"/>
        <c:axId val="46928946"/>
      </c:area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28946"/>
        <c:crosses val="autoZero"/>
        <c:auto val="0"/>
        <c:lblOffset val="100"/>
        <c:noMultiLvlLbl val="0"/>
      </c:catAx>
      <c:valAx>
        <c:axId val="469289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040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0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Kumulativ fordeling av høreapparatmodellene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9325"/>
          <c:w val="0.91825"/>
          <c:h val="0.8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Kumulativ!$C$1:$C$123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marker val="1"/>
        <c:axId val="19707331"/>
        <c:axId val="43148252"/>
      </c:lineChart>
      <c:cat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Modell, rangert etter antall solgt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48252"/>
        <c:crosses val="autoZero"/>
        <c:auto val="0"/>
        <c:lblOffset val="100"/>
        <c:tickLblSkip val="10"/>
        <c:tickMarkSkip val="5"/>
        <c:noMultiLvlLbl val="0"/>
      </c:catAx>
      <c:valAx>
        <c:axId val="431482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Andel av totalt 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70733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Andel digitale hørepparater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05"/>
          <c:w val="0.968"/>
          <c:h val="0.87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Digitale!$B$1:$M$1</c:f>
              <c:numCache>
                <c:ptCount val="12"/>
                <c:pt idx="0">
                  <c:v>1998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1999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2000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cat>
          <c:val>
            <c:numRef>
              <c:f>Digitale!$B$4:$M$4</c:f>
              <c:numCache>
                <c:ptCount val="12"/>
                <c:pt idx="0">
                  <c:v>0.5641357348989949</c:v>
                </c:pt>
                <c:pt idx="1">
                  <c:v>0.5238442315701791</c:v>
                </c:pt>
                <c:pt idx="2">
                  <c:v>0.6190259444697315</c:v>
                </c:pt>
                <c:pt idx="3">
                  <c:v>0.6433800829143512</c:v>
                </c:pt>
                <c:pt idx="4">
                  <c:v>0.6748597381779321</c:v>
                </c:pt>
                <c:pt idx="5">
                  <c:v>0.7065082644628099</c:v>
                </c:pt>
                <c:pt idx="6">
                  <c:v>0.7831232560377177</c:v>
                </c:pt>
                <c:pt idx="7">
                  <c:v>0.8200711628659227</c:v>
                </c:pt>
                <c:pt idx="8">
                  <c:v>0.8162980209545984</c:v>
                </c:pt>
                <c:pt idx="9">
                  <c:v>0.8704912681573364</c:v>
                </c:pt>
                <c:pt idx="10">
                  <c:v>0.8820539782684893</c:v>
                </c:pt>
                <c:pt idx="11">
                  <c:v>0.8939550694649719</c:v>
                </c:pt>
              </c:numCache>
            </c:numRef>
          </c:val>
          <c:smooth val="0"/>
        </c:ser>
        <c:marker val="1"/>
        <c:axId val="52789949"/>
        <c:axId val="5347494"/>
      </c:line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789949"/>
        <c:crossesAt val="1"/>
        <c:crossBetween val="between"/>
        <c:dispUnits/>
        <c:majorUnit val="0.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Årlig innkjøpsverdi og antall nye høreapparater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Digitale!$A$26</c:f>
              <c:strCache>
                <c:ptCount val="1"/>
                <c:pt idx="0">
                  <c:v>Pris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Digitale!$B$25:$D$25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Digitale!$B$26:$D$26</c:f>
              <c:numCache>
                <c:ptCount val="3"/>
                <c:pt idx="0">
                  <c:v>161.47781062</c:v>
                </c:pt>
                <c:pt idx="1">
                  <c:v>190.54547025</c:v>
                </c:pt>
                <c:pt idx="2">
                  <c:v>225.32597371</c:v>
                </c:pt>
              </c:numCache>
            </c:numRef>
          </c:val>
          <c:smooth val="0"/>
        </c:ser>
        <c:marker val="1"/>
        <c:axId val="48127447"/>
        <c:axId val="30493840"/>
      </c:lineChart>
      <c:lineChart>
        <c:grouping val="standard"/>
        <c:varyColors val="0"/>
        <c:ser>
          <c:idx val="2"/>
          <c:order val="1"/>
          <c:tx>
            <c:strRef>
              <c:f>Digitale!$A$27</c:f>
              <c:strCache>
                <c:ptCount val="1"/>
                <c:pt idx="0">
                  <c:v>Antall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Digitale!$B$27:$D$27</c:f>
              <c:numCache>
                <c:ptCount val="3"/>
                <c:pt idx="0">
                  <c:v>39778</c:v>
                </c:pt>
                <c:pt idx="1">
                  <c:v>43668</c:v>
                </c:pt>
                <c:pt idx="2">
                  <c:v>50083</c:v>
                </c:pt>
              </c:numCache>
            </c:numRef>
          </c:val>
          <c:smooth val="0"/>
        </c:ser>
        <c:marker val="1"/>
        <c:axId val="6009105"/>
        <c:axId val="54081946"/>
      </c:line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93840"/>
        <c:crosses val="autoZero"/>
        <c:auto val="0"/>
        <c:lblOffset val="100"/>
        <c:noMultiLvlLbl val="0"/>
      </c:cat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Mkr eks mva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127447"/>
        <c:crossesAt val="1"/>
        <c:crossBetween val="between"/>
        <c:dispUnits/>
      </c:valAx>
      <c:catAx>
        <c:axId val="6009105"/>
        <c:scaling>
          <c:orientation val="minMax"/>
        </c:scaling>
        <c:axPos val="b"/>
        <c:delete val="1"/>
        <c:majorTickMark val="in"/>
        <c:minorTickMark val="none"/>
        <c:tickLblPos val="nextTo"/>
        <c:crossAx val="54081946"/>
        <c:crosses val="autoZero"/>
        <c:auto val="0"/>
        <c:lblOffset val="100"/>
        <c:noMultiLvlLbl val="0"/>
      </c:catAx>
      <c:valAx>
        <c:axId val="54081946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/>
          </a:ln>
        </c:spPr>
        <c:crossAx val="6009105"/>
        <c:crosses val="max"/>
        <c:crossBetween val="between"/>
        <c:dispUnits/>
        <c:majorUnit val="10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hele 2000</a:t>
            </a:r>
          </a:p>
        </c:rich>
      </c:tx>
      <c:layout>
        <c:manualLayout>
          <c:xMode val="factor"/>
          <c:yMode val="factor"/>
          <c:x val="0.394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8"/>
          <c:y val="0.22125"/>
          <c:w val="0.27975"/>
          <c:h val="0.6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\ 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LEVERT!$C$186:$C$190</c:f>
              <c:strCache/>
            </c:strRef>
          </c:cat>
          <c:val>
            <c:numRef>
              <c:f>LEVERT!$K$186:$K$190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høreapparater
fordelt på leverandør
hele 2000</a:t>
            </a:r>
          </a:p>
        </c:rich>
      </c:tx>
      <c:layout>
        <c:manualLayout>
          <c:xMode val="factor"/>
          <c:yMode val="factor"/>
          <c:x val="0.298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25"/>
          <c:y val="0.19175"/>
          <c:w val="0.295"/>
          <c:h val="0.644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LEVERT!$C$236:$C$245</c:f>
              <c:strCache/>
            </c:strRef>
          </c:cat>
          <c:val>
            <c:numRef>
              <c:f>LEVERT!$K$236:$K$245</c:f>
              <c:numCache/>
            </c:numRef>
          </c:val>
        </c:ser>
        <c:firstSliceAng val="32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8</xdr:col>
      <xdr:colOff>542925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2809875"/>
        <a:ext cx="5867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19050</xdr:rowOff>
    </xdr:from>
    <xdr:to>
      <xdr:col>8</xdr:col>
      <xdr:colOff>533400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0" y="5800725"/>
        <a:ext cx="58578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51</xdr:row>
      <xdr:rowOff>0</xdr:rowOff>
    </xdr:from>
    <xdr:to>
      <xdr:col>8</xdr:col>
      <xdr:colOff>523875</xdr:colOff>
      <xdr:row>64</xdr:row>
      <xdr:rowOff>95250</xdr:rowOff>
    </xdr:to>
    <xdr:graphicFrame>
      <xdr:nvGraphicFramePr>
        <xdr:cNvPr id="3" name="Chart 3"/>
        <xdr:cNvGraphicFramePr/>
      </xdr:nvGraphicFramePr>
      <xdr:xfrm>
        <a:off x="9525" y="8210550"/>
        <a:ext cx="58388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85725</xdr:rowOff>
    </xdr:from>
    <xdr:to>
      <xdr:col>11</xdr:col>
      <xdr:colOff>371475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095500" y="85725"/>
        <a:ext cx="4981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0.62775</cdr:x>
      <cdr:y>0.20325</cdr:y>
    </cdr:from>
    <cdr:to>
      <cdr:x>0.696</cdr:x>
      <cdr:y>0.26625</cdr:y>
    </cdr:to>
    <cdr:sp>
      <cdr:nvSpPr>
        <cdr:cNvPr id="1" name="TextBox 2"/>
        <cdr:cNvSpPr txBox="1">
          <a:spLocks noChangeArrowheads="1"/>
        </cdr:cNvSpPr>
      </cdr:nvSpPr>
      <cdr:spPr>
        <a:xfrm>
          <a:off x="3695700" y="590550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Antall</a:t>
          </a:r>
        </a:p>
      </cdr:txBody>
    </cdr:sp>
  </cdr:relSizeAnchor>
  <cdr:relSizeAnchor xmlns:cdr="http://schemas.openxmlformats.org/drawingml/2006/chartDrawing">
    <cdr:from>
      <cdr:x>0.172</cdr:x>
      <cdr:y>0.42325</cdr:y>
    </cdr:from>
    <cdr:to>
      <cdr:x>0.22225</cdr:x>
      <cdr:y>0.48625</cdr:y>
    </cdr:to>
    <cdr:sp>
      <cdr:nvSpPr>
        <cdr:cNvPr id="2" name="TextBox 3"/>
        <cdr:cNvSpPr txBox="1">
          <a:spLocks noChangeArrowheads="1"/>
        </cdr:cNvSpPr>
      </cdr:nvSpPr>
      <cdr:spPr>
        <a:xfrm>
          <a:off x="1009650" y="1238250"/>
          <a:ext cx="295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5</xdr:col>
      <xdr:colOff>523875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704850"/>
        <a:ext cx="60198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28</xdr:row>
      <xdr:rowOff>47625</xdr:rowOff>
    </xdr:from>
    <xdr:to>
      <xdr:col>5</xdr:col>
      <xdr:colOff>428625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38100" y="4581525"/>
        <a:ext cx="58959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191</xdr:row>
      <xdr:rowOff>114300</xdr:rowOff>
    </xdr:from>
    <xdr:to>
      <xdr:col>6</xdr:col>
      <xdr:colOff>419100</xdr:colOff>
      <xdr:row>203</xdr:row>
      <xdr:rowOff>28575</xdr:rowOff>
    </xdr:to>
    <xdr:graphicFrame>
      <xdr:nvGraphicFramePr>
        <xdr:cNvPr id="1" name="Chart 8"/>
        <xdr:cNvGraphicFramePr/>
      </xdr:nvGraphicFramePr>
      <xdr:xfrm>
        <a:off x="38100" y="25831800"/>
        <a:ext cx="40100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218</xdr:row>
      <xdr:rowOff>76200</xdr:rowOff>
    </xdr:from>
    <xdr:to>
      <xdr:col>10</xdr:col>
      <xdr:colOff>85725</xdr:colOff>
      <xdr:row>234</xdr:row>
      <xdr:rowOff>76200</xdr:rowOff>
    </xdr:to>
    <xdr:graphicFrame>
      <xdr:nvGraphicFramePr>
        <xdr:cNvPr id="2" name="Chart 9"/>
        <xdr:cNvGraphicFramePr/>
      </xdr:nvGraphicFramePr>
      <xdr:xfrm>
        <a:off x="19050" y="29660850"/>
        <a:ext cx="5610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G13" sqref="E13:G13"/>
    </sheetView>
  </sheetViews>
  <sheetFormatPr defaultColWidth="11.421875" defaultRowHeight="12.75"/>
  <cols>
    <col min="1" max="1" width="16.421875" style="0" customWidth="1"/>
    <col min="2" max="3" width="9.140625" style="25" customWidth="1"/>
    <col min="4" max="5" width="9.140625" style="0" customWidth="1"/>
    <col min="6" max="6" width="8.57421875" style="0" customWidth="1"/>
    <col min="7" max="16384" width="9.140625" style="0" customWidth="1"/>
  </cols>
  <sheetData>
    <row r="1" spans="1:9" s="189" customFormat="1" ht="12.75">
      <c r="A1" s="186"/>
      <c r="B1" s="187" t="s">
        <v>0</v>
      </c>
      <c r="C1" s="187" t="s">
        <v>1</v>
      </c>
      <c r="D1" s="187" t="s">
        <v>2</v>
      </c>
      <c r="E1" s="188">
        <v>1998</v>
      </c>
      <c r="F1" s="188">
        <v>1999</v>
      </c>
      <c r="G1" s="186">
        <v>2000</v>
      </c>
      <c r="H1" s="186"/>
      <c r="I1" s="186"/>
    </row>
    <row r="2" spans="1:9" ht="12.75">
      <c r="A2" s="179" t="s">
        <v>3</v>
      </c>
      <c r="B2" s="180">
        <v>0</v>
      </c>
      <c r="C2" s="180">
        <v>200</v>
      </c>
      <c r="D2" s="179">
        <v>470</v>
      </c>
      <c r="E2" s="179">
        <v>626</v>
      </c>
      <c r="F2" s="180">
        <v>1529</v>
      </c>
      <c r="G2" s="180">
        <v>2994</v>
      </c>
      <c r="H2" s="180"/>
      <c r="I2" s="180"/>
    </row>
    <row r="3" spans="1:9" ht="12.75">
      <c r="A3" s="179" t="s">
        <v>4</v>
      </c>
      <c r="B3" s="180">
        <v>2627</v>
      </c>
      <c r="C3" s="180">
        <v>2648</v>
      </c>
      <c r="D3" s="179">
        <v>2193</v>
      </c>
      <c r="E3" s="179">
        <v>2228</v>
      </c>
      <c r="F3" s="180">
        <v>2158</v>
      </c>
      <c r="G3" s="180">
        <v>2955</v>
      </c>
      <c r="H3" s="180"/>
      <c r="I3" s="180"/>
    </row>
    <row r="4" spans="1:9" ht="12.75">
      <c r="A4" s="179" t="s">
        <v>5</v>
      </c>
      <c r="B4" s="180">
        <v>2128</v>
      </c>
      <c r="C4" s="180">
        <v>2234</v>
      </c>
      <c r="D4" s="179">
        <v>1556</v>
      </c>
      <c r="E4" s="179">
        <v>1532</v>
      </c>
      <c r="F4" s="180">
        <v>1470</v>
      </c>
      <c r="G4" s="180">
        <v>1324</v>
      </c>
      <c r="H4" s="180"/>
      <c r="I4" s="180"/>
    </row>
    <row r="5" spans="1:9" ht="12.75">
      <c r="A5" s="179" t="s">
        <v>6</v>
      </c>
      <c r="B5" s="180">
        <v>794</v>
      </c>
      <c r="C5" s="180">
        <v>395</v>
      </c>
      <c r="D5" s="179">
        <v>353</v>
      </c>
      <c r="E5" s="179">
        <v>1130</v>
      </c>
      <c r="F5" s="180">
        <v>1501</v>
      </c>
      <c r="G5" s="180">
        <v>1672</v>
      </c>
      <c r="H5" s="180"/>
      <c r="I5" s="180"/>
    </row>
    <row r="6" spans="1:9" ht="12.75">
      <c r="A6" s="179" t="s">
        <v>7</v>
      </c>
      <c r="B6" s="180">
        <v>5077</v>
      </c>
      <c r="C6" s="180">
        <v>5298</v>
      </c>
      <c r="D6" s="179">
        <v>9329</v>
      </c>
      <c r="E6" s="179">
        <v>11886</v>
      </c>
      <c r="F6" s="180">
        <v>12780</v>
      </c>
      <c r="G6" s="180">
        <v>14000</v>
      </c>
      <c r="H6" s="180"/>
      <c r="I6" s="180"/>
    </row>
    <row r="7" spans="1:9" ht="12.75">
      <c r="A7" s="179" t="s">
        <v>8</v>
      </c>
      <c r="B7" s="180">
        <v>5535</v>
      </c>
      <c r="C7" s="180">
        <v>5032</v>
      </c>
      <c r="D7" s="179">
        <v>5359</v>
      </c>
      <c r="E7" s="179">
        <v>9368</v>
      </c>
      <c r="F7" s="181">
        <v>10584</v>
      </c>
      <c r="G7" s="179">
        <v>10346</v>
      </c>
      <c r="H7" s="180"/>
      <c r="I7" s="180"/>
    </row>
    <row r="8" spans="1:9" ht="12.75">
      <c r="A8" s="179" t="s">
        <v>9</v>
      </c>
      <c r="B8" s="180">
        <v>3920</v>
      </c>
      <c r="C8" s="180">
        <v>4120</v>
      </c>
      <c r="D8" s="179">
        <v>2912</v>
      </c>
      <c r="E8" s="179">
        <v>2230</v>
      </c>
      <c r="F8" s="180">
        <v>1921</v>
      </c>
      <c r="G8" s="179">
        <v>3955</v>
      </c>
      <c r="H8" s="180"/>
      <c r="I8" s="180"/>
    </row>
    <row r="9" spans="1:9" ht="12.75">
      <c r="A9" s="179" t="s">
        <v>10</v>
      </c>
      <c r="B9" s="180">
        <v>2550</v>
      </c>
      <c r="C9" s="180">
        <v>2213</v>
      </c>
      <c r="D9" s="179">
        <v>1731</v>
      </c>
      <c r="E9" s="179">
        <v>2179</v>
      </c>
      <c r="F9" s="180">
        <v>2655</v>
      </c>
      <c r="G9" s="180">
        <v>3630</v>
      </c>
      <c r="H9" s="180"/>
      <c r="I9" s="180"/>
    </row>
    <row r="10" spans="1:9" ht="12.75">
      <c r="A10" s="179" t="s">
        <v>11</v>
      </c>
      <c r="B10" s="180">
        <v>10313</v>
      </c>
      <c r="C10" s="180">
        <v>7526</v>
      </c>
      <c r="D10" s="179">
        <v>5870</v>
      </c>
      <c r="E10" s="179">
        <v>3831</v>
      </c>
      <c r="F10" s="180">
        <v>4879</v>
      </c>
      <c r="G10" s="180">
        <v>5252</v>
      </c>
      <c r="H10" s="180"/>
      <c r="I10" s="180"/>
    </row>
    <row r="11" spans="1:9" ht="12.75">
      <c r="A11" s="179" t="s">
        <v>12</v>
      </c>
      <c r="B11" s="180">
        <v>361</v>
      </c>
      <c r="C11" s="180">
        <v>3030</v>
      </c>
      <c r="D11" s="179">
        <v>4962</v>
      </c>
      <c r="E11" s="179">
        <v>4768</v>
      </c>
      <c r="F11" s="179">
        <v>4191</v>
      </c>
      <c r="G11" s="179">
        <v>3955</v>
      </c>
      <c r="H11" s="180"/>
      <c r="I11" s="180"/>
    </row>
    <row r="12" spans="1:9" ht="13.5" thickBot="1">
      <c r="A12" s="179" t="s">
        <v>13</v>
      </c>
      <c r="B12" s="180">
        <f>B16+B17</f>
        <v>608</v>
      </c>
      <c r="C12" s="180">
        <f>C16+C17</f>
        <v>256</v>
      </c>
      <c r="D12" s="179">
        <v>0</v>
      </c>
      <c r="E12" s="181">
        <v>0</v>
      </c>
      <c r="F12" s="180">
        <v>0</v>
      </c>
      <c r="G12" s="182">
        <v>0</v>
      </c>
      <c r="H12" s="180"/>
      <c r="I12" s="180"/>
    </row>
    <row r="13" spans="1:10" ht="12.75">
      <c r="A13" s="183" t="s">
        <v>14</v>
      </c>
      <c r="B13" s="183">
        <v>33913</v>
      </c>
      <c r="C13" s="183">
        <v>32952</v>
      </c>
      <c r="D13" s="183">
        <v>34735</v>
      </c>
      <c r="E13" s="183">
        <f>SUM(E2:E12)</f>
        <v>39778</v>
      </c>
      <c r="F13" s="183">
        <f>SUM(F2:F12)</f>
        <v>43668</v>
      </c>
      <c r="G13" s="183">
        <f>SUM(G2:G12)</f>
        <v>50083</v>
      </c>
      <c r="H13" s="184"/>
      <c r="I13" s="184"/>
      <c r="J13" s="63"/>
    </row>
    <row r="14" spans="1:9" s="25" customFormat="1" ht="12.75">
      <c r="A14" s="180"/>
      <c r="B14" s="181"/>
      <c r="C14" s="180"/>
      <c r="D14" s="180"/>
      <c r="E14" s="180"/>
      <c r="F14" s="180"/>
      <c r="G14" s="180"/>
      <c r="H14" s="180"/>
      <c r="I14" s="180"/>
    </row>
    <row r="15" spans="1:9" s="25" customFormat="1" ht="12.75">
      <c r="A15" s="180" t="s">
        <v>15</v>
      </c>
      <c r="B15" s="180"/>
      <c r="C15" s="180"/>
      <c r="D15" s="180"/>
      <c r="E15" s="180"/>
      <c r="F15" s="180"/>
      <c r="G15" s="180"/>
      <c r="H15" s="180"/>
      <c r="I15" s="180"/>
    </row>
    <row r="16" spans="1:9" s="25" customFormat="1" ht="12.75">
      <c r="A16" s="180" t="s">
        <v>16</v>
      </c>
      <c r="B16" s="180">
        <v>232</v>
      </c>
      <c r="C16" s="180">
        <v>208</v>
      </c>
      <c r="D16" s="180"/>
      <c r="E16" s="180"/>
      <c r="F16" s="180"/>
      <c r="G16" s="180"/>
      <c r="H16" s="180"/>
      <c r="I16" s="180"/>
    </row>
    <row r="17" spans="1:9" s="25" customFormat="1" ht="12.75">
      <c r="A17" s="179" t="s">
        <v>17</v>
      </c>
      <c r="B17" s="180">
        <v>376</v>
      </c>
      <c r="C17" s="180">
        <v>48</v>
      </c>
      <c r="D17" s="180"/>
      <c r="E17" s="180"/>
      <c r="F17" s="180"/>
      <c r="G17" s="180"/>
      <c r="H17" s="180"/>
      <c r="I17" s="180"/>
    </row>
    <row r="18" s="25" customFormat="1" ht="10.5"/>
    <row r="19" s="25" customFormat="1" ht="10.5"/>
    <row r="20" spans="2:3" s="142" customFormat="1" ht="12.75">
      <c r="B20" s="143"/>
      <c r="C20" s="143"/>
    </row>
    <row r="21" spans="2:3" s="142" customFormat="1" ht="12.75">
      <c r="B21" s="143"/>
      <c r="C21" s="143"/>
    </row>
    <row r="22" spans="2:3" s="142" customFormat="1" ht="12.75">
      <c r="B22" s="143"/>
      <c r="C22" s="143"/>
    </row>
    <row r="23" spans="2:3" s="142" customFormat="1" ht="12.75">
      <c r="B23" s="143"/>
      <c r="C23" s="143"/>
    </row>
    <row r="24" spans="2:3" s="142" customFormat="1" ht="12.75">
      <c r="B24" s="143"/>
      <c r="C24" s="143"/>
    </row>
    <row r="25" spans="2:3" s="142" customFormat="1" ht="12.75">
      <c r="B25" s="143"/>
      <c r="C25" s="143"/>
    </row>
    <row r="26" spans="2:3" s="142" customFormat="1" ht="12.75">
      <c r="B26" s="143"/>
      <c r="C26" s="143"/>
    </row>
    <row r="27" spans="2:3" s="142" customFormat="1" ht="12.75">
      <c r="B27" s="143"/>
      <c r="C27" s="143"/>
    </row>
    <row r="28" spans="2:3" s="142" customFormat="1" ht="12.75">
      <c r="B28" s="143"/>
      <c r="C28" s="143"/>
    </row>
    <row r="29" spans="2:3" s="142" customFormat="1" ht="12.75">
      <c r="B29" s="143"/>
      <c r="C29" s="143"/>
    </row>
    <row r="30" spans="2:3" s="142" customFormat="1" ht="12.75">
      <c r="B30" s="143"/>
      <c r="C30" s="143"/>
    </row>
    <row r="31" spans="2:3" s="142" customFormat="1" ht="12.75">
      <c r="B31" s="143"/>
      <c r="C31" s="143"/>
    </row>
    <row r="32" spans="2:3" s="142" customFormat="1" ht="12.75">
      <c r="B32" s="143"/>
      <c r="C32" s="143"/>
    </row>
    <row r="33" spans="2:3" s="142" customFormat="1" ht="12.75">
      <c r="B33" s="143"/>
      <c r="C33" s="143"/>
    </row>
    <row r="34" spans="2:3" s="142" customFormat="1" ht="12.75">
      <c r="B34" s="143"/>
      <c r="C34" s="143"/>
    </row>
    <row r="35" spans="2:3" s="142" customFormat="1" ht="12.75">
      <c r="B35" s="143"/>
      <c r="C35" s="143"/>
    </row>
    <row r="36" spans="2:3" s="142" customFormat="1" ht="12.75">
      <c r="B36" s="143"/>
      <c r="C36" s="143"/>
    </row>
    <row r="37" spans="2:3" s="142" customFormat="1" ht="12.75">
      <c r="B37" s="143"/>
      <c r="C37" s="143"/>
    </row>
    <row r="38" spans="2:3" s="142" customFormat="1" ht="12.75">
      <c r="B38" s="143"/>
      <c r="C38" s="143"/>
    </row>
    <row r="39" spans="2:3" s="142" customFormat="1" ht="12.75">
      <c r="B39" s="143"/>
      <c r="C39" s="143"/>
    </row>
    <row r="40" spans="2:3" s="142" customFormat="1" ht="12.75">
      <c r="B40" s="143"/>
      <c r="C40" s="143"/>
    </row>
    <row r="41" spans="2:3" s="142" customFormat="1" ht="12.75">
      <c r="B41" s="143"/>
      <c r="C41" s="143"/>
    </row>
    <row r="42" spans="2:3" s="142" customFormat="1" ht="12.75">
      <c r="B42" s="143"/>
      <c r="C42" s="143"/>
    </row>
    <row r="43" spans="2:3" s="142" customFormat="1" ht="12.75">
      <c r="B43" s="143"/>
      <c r="C43" s="143"/>
    </row>
    <row r="44" spans="2:3" s="142" customFormat="1" ht="12.75">
      <c r="B44" s="143"/>
      <c r="C44" s="143"/>
    </row>
    <row r="45" spans="2:3" s="142" customFormat="1" ht="12.75">
      <c r="B45" s="143"/>
      <c r="C45" s="143"/>
    </row>
    <row r="46" spans="2:3" s="142" customFormat="1" ht="12.75">
      <c r="B46" s="143"/>
      <c r="C46" s="143"/>
    </row>
    <row r="47" spans="2:3" s="142" customFormat="1" ht="12.75">
      <c r="B47" s="143"/>
      <c r="C47" s="143"/>
    </row>
    <row r="48" spans="2:3" s="142" customFormat="1" ht="12.75">
      <c r="B48" s="143"/>
      <c r="C48" s="143"/>
    </row>
    <row r="49" spans="2:3" s="142" customFormat="1" ht="12.75">
      <c r="B49" s="143"/>
      <c r="C49" s="143"/>
    </row>
    <row r="50" spans="2:3" s="142" customFormat="1" ht="12.75">
      <c r="B50" s="143"/>
      <c r="C50" s="143"/>
    </row>
    <row r="51" spans="2:3" s="142" customFormat="1" ht="12.75">
      <c r="B51" s="143"/>
      <c r="C51" s="143"/>
    </row>
    <row r="52" spans="2:3" s="142" customFormat="1" ht="12.75">
      <c r="B52" s="143"/>
      <c r="C52" s="143"/>
    </row>
    <row r="53" spans="2:3" s="142" customFormat="1" ht="12.75">
      <c r="B53" s="143"/>
      <c r="C53" s="143"/>
    </row>
    <row r="54" spans="2:3" s="142" customFormat="1" ht="12.75">
      <c r="B54" s="143"/>
      <c r="C54" s="143"/>
    </row>
    <row r="55" spans="2:3" s="142" customFormat="1" ht="12.75">
      <c r="B55" s="143"/>
      <c r="C55" s="143"/>
    </row>
    <row r="56" spans="2:3" s="142" customFormat="1" ht="12.75">
      <c r="B56" s="143"/>
      <c r="C56" s="143"/>
    </row>
    <row r="57" spans="2:3" s="142" customFormat="1" ht="12.75">
      <c r="B57" s="143"/>
      <c r="C57" s="143"/>
    </row>
    <row r="58" spans="2:3" s="142" customFormat="1" ht="12.75">
      <c r="B58" s="143"/>
      <c r="C58" s="143"/>
    </row>
    <row r="59" spans="2:3" s="142" customFormat="1" ht="12.75">
      <c r="B59" s="143"/>
      <c r="C59" s="143"/>
    </row>
    <row r="60" spans="2:3" s="142" customFormat="1" ht="12.75">
      <c r="B60" s="143"/>
      <c r="C60" s="143"/>
    </row>
    <row r="61" spans="2:3" s="142" customFormat="1" ht="12.75">
      <c r="B61" s="143"/>
      <c r="C61" s="143"/>
    </row>
    <row r="62" spans="2:3" s="142" customFormat="1" ht="12.75">
      <c r="B62" s="143"/>
      <c r="C62" s="143"/>
    </row>
    <row r="63" spans="2:3" s="142" customFormat="1" ht="12.75">
      <c r="B63" s="143"/>
      <c r="C63" s="143"/>
    </row>
    <row r="64" spans="2:3" s="142" customFormat="1" ht="12.75">
      <c r="B64" s="143"/>
      <c r="C64" s="143"/>
    </row>
    <row r="65" spans="2:3" s="142" customFormat="1" ht="12.75">
      <c r="B65" s="143"/>
      <c r="C65" s="143"/>
    </row>
    <row r="66" spans="1:3" s="142" customFormat="1" ht="12.75">
      <c r="A66" s="142" t="s">
        <v>244</v>
      </c>
      <c r="B66" s="143"/>
      <c r="C66" s="143"/>
    </row>
    <row r="67" spans="2:3" s="142" customFormat="1" ht="12.75">
      <c r="B67" s="143"/>
      <c r="C67" s="143"/>
    </row>
    <row r="68" spans="2:3" s="142" customFormat="1" ht="12.75">
      <c r="B68" s="143"/>
      <c r="C68" s="143"/>
    </row>
    <row r="69" spans="2:3" s="142" customFormat="1" ht="12.75">
      <c r="B69" s="143"/>
      <c r="C69" s="143"/>
    </row>
    <row r="70" spans="2:3" s="142" customFormat="1" ht="12.75">
      <c r="B70" s="143"/>
      <c r="C70" s="143"/>
    </row>
    <row r="71" spans="2:3" s="142" customFormat="1" ht="12.75">
      <c r="B71" s="143"/>
      <c r="C71" s="143"/>
    </row>
  </sheetData>
  <printOptions gridLines="1"/>
  <pageMargins left="0.75" right="0.75" top="0.71" bottom="0.8" header="0.5" footer="0.35"/>
  <pageSetup fitToHeight="1" fitToWidth="1" horizontalDpi="300" verticalDpi="300" orientation="portrait" paperSize="9" scale="92" r:id="rId2"/>
  <headerFooter alignWithMargins="0">
    <oddHeader>&amp;CRTV-apparater &amp;A&amp;R01.02.99 OA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85" customWidth="1"/>
    <col min="2" max="2" width="9.140625" style="178" customWidth="1"/>
    <col min="3" max="3" width="9.140625" style="162" customWidth="1"/>
    <col min="4" max="16384" width="9.140625" style="0" customWidth="1"/>
  </cols>
  <sheetData>
    <row r="1" spans="1:3" ht="12.75">
      <c r="A1" s="65">
        <v>5309</v>
      </c>
      <c r="B1" s="178">
        <f>A1</f>
        <v>5309</v>
      </c>
      <c r="C1" s="161">
        <f aca="true" t="shared" si="0" ref="C1:C64">B1/B$123</f>
        <v>0.1059849876227741</v>
      </c>
    </row>
    <row r="2" spans="1:3" ht="12.75">
      <c r="A2" s="65">
        <v>3781</v>
      </c>
      <c r="B2" s="178">
        <f>B1+A2</f>
        <v>9090</v>
      </c>
      <c r="C2" s="161">
        <f t="shared" si="0"/>
        <v>0.18146610237163618</v>
      </c>
    </row>
    <row r="3" spans="1:3" ht="12.75">
      <c r="A3" s="65">
        <v>3537</v>
      </c>
      <c r="B3" s="178">
        <f aca="true" t="shared" si="1" ref="B3:B18">B2+A3</f>
        <v>12627</v>
      </c>
      <c r="C3" s="161">
        <f t="shared" si="0"/>
        <v>0.25207617982911446</v>
      </c>
    </row>
    <row r="4" spans="1:3" ht="12.75">
      <c r="A4" s="65">
        <v>3485</v>
      </c>
      <c r="B4" s="178">
        <f t="shared" si="1"/>
        <v>16112</v>
      </c>
      <c r="C4" s="161">
        <f t="shared" si="0"/>
        <v>0.32164816737203544</v>
      </c>
    </row>
    <row r="5" spans="1:3" ht="12.75">
      <c r="A5" s="65">
        <v>2260</v>
      </c>
      <c r="B5" s="178">
        <f t="shared" si="1"/>
        <v>18372</v>
      </c>
      <c r="C5" s="161">
        <f t="shared" si="0"/>
        <v>0.366765152120099</v>
      </c>
    </row>
    <row r="6" spans="1:3" ht="12.75">
      <c r="A6" s="65">
        <v>2040</v>
      </c>
      <c r="B6" s="178">
        <f t="shared" si="1"/>
        <v>20412</v>
      </c>
      <c r="C6" s="161">
        <f t="shared" si="0"/>
        <v>0.4074902179988821</v>
      </c>
    </row>
    <row r="7" spans="1:3" ht="12.75">
      <c r="A7" s="65">
        <v>1747</v>
      </c>
      <c r="B7" s="178">
        <f t="shared" si="1"/>
        <v>22159</v>
      </c>
      <c r="C7" s="161">
        <f t="shared" si="0"/>
        <v>0.44236604647448696</v>
      </c>
    </row>
    <row r="8" spans="1:3" ht="12.75">
      <c r="A8" s="65">
        <v>1510</v>
      </c>
      <c r="B8" s="178">
        <f t="shared" si="1"/>
        <v>23669</v>
      </c>
      <c r="C8" s="161">
        <f t="shared" si="0"/>
        <v>0.47251058053182143</v>
      </c>
    </row>
    <row r="9" spans="1:3" ht="12.75">
      <c r="A9" s="65">
        <v>1424</v>
      </c>
      <c r="B9" s="178">
        <f t="shared" si="1"/>
        <v>25093</v>
      </c>
      <c r="C9" s="161">
        <f t="shared" si="0"/>
        <v>0.500938273576619</v>
      </c>
    </row>
    <row r="10" spans="1:3" ht="12.75">
      <c r="A10" s="65">
        <v>1381</v>
      </c>
      <c r="B10" s="178">
        <f t="shared" si="1"/>
        <v>26474</v>
      </c>
      <c r="C10" s="161">
        <f t="shared" si="0"/>
        <v>0.5285075461151482</v>
      </c>
    </row>
    <row r="11" spans="1:3" ht="12.75">
      <c r="A11" s="65">
        <v>1225</v>
      </c>
      <c r="B11" s="178">
        <f t="shared" si="1"/>
        <v>27699</v>
      </c>
      <c r="C11" s="161">
        <f t="shared" si="0"/>
        <v>0.5529625489100056</v>
      </c>
    </row>
    <row r="12" spans="1:3" ht="12.75">
      <c r="A12" s="65">
        <v>1112</v>
      </c>
      <c r="B12" s="178">
        <f t="shared" si="1"/>
        <v>28811</v>
      </c>
      <c r="C12" s="161">
        <f t="shared" si="0"/>
        <v>0.5751617024674599</v>
      </c>
    </row>
    <row r="13" spans="1:3" ht="12.75">
      <c r="A13" s="65">
        <v>963</v>
      </c>
      <c r="B13" s="178">
        <f t="shared" si="1"/>
        <v>29774</v>
      </c>
      <c r="C13" s="161">
        <f t="shared" si="0"/>
        <v>0.594386329154356</v>
      </c>
    </row>
    <row r="14" spans="1:3" ht="12.75">
      <c r="A14" s="65">
        <v>881</v>
      </c>
      <c r="B14" s="178">
        <f t="shared" si="1"/>
        <v>30655</v>
      </c>
      <c r="C14" s="161">
        <f t="shared" si="0"/>
        <v>0.6119739678990658</v>
      </c>
    </row>
    <row r="15" spans="1:3" ht="12.75">
      <c r="A15" s="65">
        <v>875</v>
      </c>
      <c r="B15" s="178">
        <f t="shared" si="1"/>
        <v>31530</v>
      </c>
      <c r="C15" s="161">
        <f t="shared" si="0"/>
        <v>0.6294418270382496</v>
      </c>
    </row>
    <row r="16" spans="1:3" ht="12.75">
      <c r="A16" s="174">
        <v>773</v>
      </c>
      <c r="B16" s="178">
        <f t="shared" si="1"/>
        <v>32303</v>
      </c>
      <c r="C16" s="161">
        <f t="shared" si="0"/>
        <v>0.6448734328834944</v>
      </c>
    </row>
    <row r="17" spans="1:3" ht="12.75">
      <c r="A17" s="65">
        <v>751</v>
      </c>
      <c r="B17" s="178">
        <f t="shared" si="1"/>
        <v>33054</v>
      </c>
      <c r="C17" s="161">
        <f t="shared" si="0"/>
        <v>0.659865846841811</v>
      </c>
    </row>
    <row r="18" spans="1:3" ht="12.75">
      <c r="A18" s="65">
        <v>742</v>
      </c>
      <c r="B18" s="178">
        <f t="shared" si="1"/>
        <v>33796</v>
      </c>
      <c r="C18" s="161">
        <f t="shared" si="0"/>
        <v>0.674678591391839</v>
      </c>
    </row>
    <row r="19" spans="1:3" ht="12.75">
      <c r="A19" s="65">
        <v>741</v>
      </c>
      <c r="B19" s="178">
        <f aca="true" t="shared" si="2" ref="B19:B34">B18+A19</f>
        <v>34537</v>
      </c>
      <c r="C19" s="161">
        <f t="shared" si="0"/>
        <v>0.6894713726742794</v>
      </c>
    </row>
    <row r="20" spans="1:3" ht="12.75">
      <c r="A20" s="65">
        <v>681</v>
      </c>
      <c r="B20" s="178">
        <f t="shared" si="2"/>
        <v>35218</v>
      </c>
      <c r="C20" s="161">
        <f t="shared" si="0"/>
        <v>0.7030663579014613</v>
      </c>
    </row>
    <row r="21" spans="1:3" ht="12.75">
      <c r="A21" s="65">
        <v>614</v>
      </c>
      <c r="B21" s="178">
        <f t="shared" si="2"/>
        <v>35832</v>
      </c>
      <c r="C21" s="161">
        <f t="shared" si="0"/>
        <v>0.7153238042002715</v>
      </c>
    </row>
    <row r="22" spans="1:3" ht="12.75">
      <c r="A22" s="65">
        <v>587</v>
      </c>
      <c r="B22" s="178">
        <f t="shared" si="2"/>
        <v>36419</v>
      </c>
      <c r="C22" s="161">
        <f t="shared" si="0"/>
        <v>0.7270422422742154</v>
      </c>
    </row>
    <row r="23" spans="1:3" ht="12.75">
      <c r="A23" s="65">
        <v>541</v>
      </c>
      <c r="B23" s="178">
        <f t="shared" si="2"/>
        <v>36960</v>
      </c>
      <c r="C23" s="161">
        <f t="shared" si="0"/>
        <v>0.737842370039128</v>
      </c>
    </row>
    <row r="24" spans="1:3" ht="12.75">
      <c r="A24" s="65">
        <v>493</v>
      </c>
      <c r="B24" s="178">
        <f t="shared" si="2"/>
        <v>37453</v>
      </c>
      <c r="C24" s="161">
        <f t="shared" si="0"/>
        <v>0.7476842609598339</v>
      </c>
    </row>
    <row r="25" spans="1:3" ht="12.75">
      <c r="A25" s="65">
        <v>478</v>
      </c>
      <c r="B25" s="178">
        <f t="shared" si="2"/>
        <v>37931</v>
      </c>
      <c r="C25" s="161">
        <f t="shared" si="0"/>
        <v>0.7572267028667252</v>
      </c>
    </row>
    <row r="26" spans="1:3" ht="12.75">
      <c r="A26" s="65">
        <v>475</v>
      </c>
      <c r="B26" s="178">
        <f t="shared" si="2"/>
        <v>38406</v>
      </c>
      <c r="C26" s="161">
        <f t="shared" si="0"/>
        <v>0.7667092549708536</v>
      </c>
    </row>
    <row r="27" spans="1:3" ht="12.75">
      <c r="A27" s="65">
        <v>466</v>
      </c>
      <c r="B27" s="178">
        <f t="shared" si="2"/>
        <v>38872</v>
      </c>
      <c r="C27" s="161">
        <f t="shared" si="0"/>
        <v>0.7760121376666933</v>
      </c>
    </row>
    <row r="28" spans="1:3" ht="12.75">
      <c r="A28" s="65">
        <v>465</v>
      </c>
      <c r="B28" s="178">
        <f t="shared" si="2"/>
        <v>39337</v>
      </c>
      <c r="C28" s="161">
        <f t="shared" si="0"/>
        <v>0.7852950570949453</v>
      </c>
    </row>
    <row r="29" spans="1:3" ht="12.75">
      <c r="A29" s="65">
        <v>423</v>
      </c>
      <c r="B29" s="178">
        <f t="shared" si="2"/>
        <v>39760</v>
      </c>
      <c r="C29" s="161">
        <f t="shared" si="0"/>
        <v>0.7937395192845165</v>
      </c>
    </row>
    <row r="30" spans="1:3" ht="12.75">
      <c r="A30" s="65">
        <v>420</v>
      </c>
      <c r="B30" s="178">
        <f t="shared" si="2"/>
        <v>40180</v>
      </c>
      <c r="C30" s="161">
        <f t="shared" si="0"/>
        <v>0.8021240916713248</v>
      </c>
    </row>
    <row r="31" spans="1:3" ht="12.75">
      <c r="A31" s="65">
        <v>414</v>
      </c>
      <c r="B31" s="178">
        <f t="shared" si="2"/>
        <v>40594</v>
      </c>
      <c r="C31" s="161">
        <f t="shared" si="0"/>
        <v>0.8103888844526071</v>
      </c>
    </row>
    <row r="32" spans="1:3" ht="12.75">
      <c r="A32" s="65">
        <v>350</v>
      </c>
      <c r="B32" s="178">
        <f t="shared" si="2"/>
        <v>40944</v>
      </c>
      <c r="C32" s="161">
        <f t="shared" si="0"/>
        <v>0.8173760281082808</v>
      </c>
    </row>
    <row r="33" spans="1:3" ht="12.75">
      <c r="A33" s="152">
        <v>339</v>
      </c>
      <c r="B33" s="178">
        <f t="shared" si="2"/>
        <v>41283</v>
      </c>
      <c r="C33" s="161">
        <f t="shared" si="0"/>
        <v>0.8241435758204902</v>
      </c>
    </row>
    <row r="34" spans="1:3" ht="12.75">
      <c r="A34" s="65">
        <v>325</v>
      </c>
      <c r="B34" s="178">
        <f t="shared" si="2"/>
        <v>41608</v>
      </c>
      <c r="C34" s="161">
        <f t="shared" si="0"/>
        <v>0.8306316377864729</v>
      </c>
    </row>
    <row r="35" spans="1:3" ht="12.75">
      <c r="A35" s="65">
        <v>300</v>
      </c>
      <c r="B35" s="178">
        <f aca="true" t="shared" si="3" ref="B35:B50">B34+A35</f>
        <v>41908</v>
      </c>
      <c r="C35" s="161">
        <f t="shared" si="0"/>
        <v>0.8366206180627646</v>
      </c>
    </row>
    <row r="36" spans="1:3" ht="12.75">
      <c r="A36" s="65">
        <v>280</v>
      </c>
      <c r="B36" s="178">
        <f t="shared" si="3"/>
        <v>42188</v>
      </c>
      <c r="C36" s="161">
        <f t="shared" si="0"/>
        <v>0.8422103329873034</v>
      </c>
    </row>
    <row r="37" spans="1:3" ht="12.75">
      <c r="A37" s="65">
        <v>279</v>
      </c>
      <c r="B37" s="178">
        <f t="shared" si="3"/>
        <v>42467</v>
      </c>
      <c r="C37" s="161">
        <f t="shared" si="0"/>
        <v>0.8477800846442546</v>
      </c>
    </row>
    <row r="38" spans="1:3" ht="12.75">
      <c r="A38" s="152">
        <v>268</v>
      </c>
      <c r="B38" s="178">
        <f t="shared" si="3"/>
        <v>42735</v>
      </c>
      <c r="C38" s="161">
        <f t="shared" si="0"/>
        <v>0.8531302403577418</v>
      </c>
    </row>
    <row r="39" spans="1:3" ht="12.75">
      <c r="A39" s="65">
        <v>253</v>
      </c>
      <c r="B39" s="178">
        <f t="shared" si="3"/>
        <v>42988</v>
      </c>
      <c r="C39" s="161">
        <f t="shared" si="0"/>
        <v>0.8581809470574143</v>
      </c>
    </row>
    <row r="40" spans="1:3" ht="12.75">
      <c r="A40" s="65">
        <v>253</v>
      </c>
      <c r="B40" s="178">
        <f t="shared" si="3"/>
        <v>43241</v>
      </c>
      <c r="C40" s="161">
        <f t="shared" si="0"/>
        <v>0.863231653757087</v>
      </c>
    </row>
    <row r="41" spans="1:3" ht="12.75">
      <c r="A41" s="65">
        <v>248</v>
      </c>
      <c r="B41" s="178">
        <f t="shared" si="3"/>
        <v>43489</v>
      </c>
      <c r="C41" s="161">
        <f t="shared" si="0"/>
        <v>0.8681825441188213</v>
      </c>
    </row>
    <row r="42" spans="1:3" ht="12.75">
      <c r="A42" s="65">
        <v>243</v>
      </c>
      <c r="B42" s="178">
        <f t="shared" si="3"/>
        <v>43732</v>
      </c>
      <c r="C42" s="161">
        <f t="shared" si="0"/>
        <v>0.8730336181426176</v>
      </c>
    </row>
    <row r="43" spans="1:3" ht="12.75">
      <c r="A43" s="65">
        <v>242</v>
      </c>
      <c r="B43" s="178">
        <f t="shared" si="3"/>
        <v>43974</v>
      </c>
      <c r="C43" s="161">
        <f t="shared" si="0"/>
        <v>0.8778647288988262</v>
      </c>
    </row>
    <row r="44" spans="1:3" ht="12.75">
      <c r="A44" s="65">
        <v>238</v>
      </c>
      <c r="B44" s="178">
        <f t="shared" si="3"/>
        <v>44212</v>
      </c>
      <c r="C44" s="161">
        <f t="shared" si="0"/>
        <v>0.8826159865846842</v>
      </c>
    </row>
    <row r="45" spans="1:3" ht="12.75">
      <c r="A45" s="65">
        <v>229</v>
      </c>
      <c r="B45" s="178">
        <f t="shared" si="3"/>
        <v>44441</v>
      </c>
      <c r="C45" s="161">
        <f t="shared" si="0"/>
        <v>0.8871875748622534</v>
      </c>
    </row>
    <row r="46" spans="1:3" ht="12.75">
      <c r="A46" s="65">
        <v>224</v>
      </c>
      <c r="B46" s="178">
        <f t="shared" si="3"/>
        <v>44665</v>
      </c>
      <c r="C46" s="161">
        <f t="shared" si="0"/>
        <v>0.8916593468018845</v>
      </c>
    </row>
    <row r="47" spans="1:3" ht="12.75">
      <c r="A47" s="65">
        <v>213</v>
      </c>
      <c r="B47" s="178">
        <f t="shared" si="3"/>
        <v>44878</v>
      </c>
      <c r="C47" s="161">
        <f t="shared" si="0"/>
        <v>0.8959115227980516</v>
      </c>
    </row>
    <row r="48" spans="1:3" ht="12.75">
      <c r="A48" s="65">
        <v>210</v>
      </c>
      <c r="B48" s="178">
        <f t="shared" si="3"/>
        <v>45088</v>
      </c>
      <c r="C48" s="161">
        <f t="shared" si="0"/>
        <v>0.9001038089914557</v>
      </c>
    </row>
    <row r="49" spans="1:3" ht="12.75">
      <c r="A49" s="65">
        <v>209</v>
      </c>
      <c r="B49" s="178">
        <f t="shared" si="3"/>
        <v>45297</v>
      </c>
      <c r="C49" s="161">
        <f t="shared" si="0"/>
        <v>0.9042761319172722</v>
      </c>
    </row>
    <row r="50" spans="1:3" ht="12.75">
      <c r="A50" s="65">
        <v>201</v>
      </c>
      <c r="B50" s="178">
        <f t="shared" si="3"/>
        <v>45498</v>
      </c>
      <c r="C50" s="161">
        <f t="shared" si="0"/>
        <v>0.9082887487023876</v>
      </c>
    </row>
    <row r="51" spans="1:3" ht="12.75">
      <c r="A51" s="65">
        <v>191</v>
      </c>
      <c r="B51" s="178">
        <f aca="true" t="shared" si="4" ref="B51:B66">B50+A51</f>
        <v>45689</v>
      </c>
      <c r="C51" s="161">
        <f t="shared" si="0"/>
        <v>0.9121017328116267</v>
      </c>
    </row>
    <row r="52" spans="1:3" ht="12.75">
      <c r="A52" s="65">
        <v>180</v>
      </c>
      <c r="B52" s="178">
        <f t="shared" si="4"/>
        <v>45869</v>
      </c>
      <c r="C52" s="161">
        <f t="shared" si="0"/>
        <v>0.9156951209774016</v>
      </c>
    </row>
    <row r="53" spans="1:3" ht="12.75">
      <c r="A53" s="65">
        <v>163</v>
      </c>
      <c r="B53" s="178">
        <f t="shared" si="4"/>
        <v>46032</v>
      </c>
      <c r="C53" s="161">
        <f t="shared" si="0"/>
        <v>0.9189491335941867</v>
      </c>
    </row>
    <row r="54" spans="1:3" ht="12.75">
      <c r="A54" s="65">
        <v>155</v>
      </c>
      <c r="B54" s="178">
        <f t="shared" si="4"/>
        <v>46187</v>
      </c>
      <c r="C54" s="161">
        <f t="shared" si="0"/>
        <v>0.9220434400702707</v>
      </c>
    </row>
    <row r="55" spans="1:3" ht="12.75">
      <c r="A55" s="65">
        <v>155</v>
      </c>
      <c r="B55" s="178">
        <f t="shared" si="4"/>
        <v>46342</v>
      </c>
      <c r="C55" s="161">
        <f t="shared" si="0"/>
        <v>0.9251377465463547</v>
      </c>
    </row>
    <row r="56" spans="1:3" ht="12.75">
      <c r="A56" s="65">
        <v>155</v>
      </c>
      <c r="B56" s="178">
        <f t="shared" si="4"/>
        <v>46497</v>
      </c>
      <c r="C56" s="161">
        <f t="shared" si="0"/>
        <v>0.9282320530224387</v>
      </c>
    </row>
    <row r="57" spans="1:3" ht="12.75">
      <c r="A57" s="65">
        <v>154</v>
      </c>
      <c r="B57" s="178">
        <f t="shared" si="4"/>
        <v>46651</v>
      </c>
      <c r="C57" s="161">
        <f t="shared" si="0"/>
        <v>0.931306396230935</v>
      </c>
    </row>
    <row r="58" spans="1:3" ht="12.75">
      <c r="A58" s="65">
        <v>154</v>
      </c>
      <c r="B58" s="178">
        <f t="shared" si="4"/>
        <v>46805</v>
      </c>
      <c r="C58" s="161">
        <f t="shared" si="0"/>
        <v>0.9343807394394315</v>
      </c>
    </row>
    <row r="59" spans="1:3" ht="12.75">
      <c r="A59" s="65">
        <v>152</v>
      </c>
      <c r="B59" s="178">
        <f t="shared" si="4"/>
        <v>46957</v>
      </c>
      <c r="C59" s="161">
        <f t="shared" si="0"/>
        <v>0.9374151561127525</v>
      </c>
    </row>
    <row r="60" spans="1:3" ht="12.75">
      <c r="A60" s="65">
        <v>145</v>
      </c>
      <c r="B60" s="178">
        <f t="shared" si="4"/>
        <v>47102</v>
      </c>
      <c r="C60" s="161">
        <f t="shared" si="0"/>
        <v>0.9403098299129602</v>
      </c>
    </row>
    <row r="61" spans="1:3" ht="12.75">
      <c r="A61" s="65">
        <v>143</v>
      </c>
      <c r="B61" s="178">
        <f t="shared" si="4"/>
        <v>47245</v>
      </c>
      <c r="C61" s="161">
        <f t="shared" si="0"/>
        <v>0.9431645771779925</v>
      </c>
    </row>
    <row r="62" spans="1:3" ht="12.75">
      <c r="A62" s="65">
        <v>142</v>
      </c>
      <c r="B62" s="178">
        <f t="shared" si="4"/>
        <v>47387</v>
      </c>
      <c r="C62" s="161">
        <f t="shared" si="0"/>
        <v>0.9459993611754371</v>
      </c>
    </row>
    <row r="63" spans="1:3" ht="12.75">
      <c r="A63" s="65">
        <v>142</v>
      </c>
      <c r="B63" s="178">
        <f t="shared" si="4"/>
        <v>47529</v>
      </c>
      <c r="C63" s="161">
        <f t="shared" si="0"/>
        <v>0.9488341451728819</v>
      </c>
    </row>
    <row r="64" spans="1:3" ht="12.75">
      <c r="A64" s="65">
        <v>134</v>
      </c>
      <c r="B64" s="178">
        <f t="shared" si="4"/>
        <v>47663</v>
      </c>
      <c r="C64" s="161">
        <f t="shared" si="0"/>
        <v>0.9515092230296255</v>
      </c>
    </row>
    <row r="65" spans="1:3" ht="12.75">
      <c r="A65" s="65">
        <v>133</v>
      </c>
      <c r="B65" s="178">
        <f t="shared" si="4"/>
        <v>47796</v>
      </c>
      <c r="C65" s="161">
        <f aca="true" t="shared" si="5" ref="C65:C122">B65/B$123</f>
        <v>0.9541643376187814</v>
      </c>
    </row>
    <row r="66" spans="1:3" ht="12.75">
      <c r="A66" s="65">
        <v>132</v>
      </c>
      <c r="B66" s="178">
        <f t="shared" si="4"/>
        <v>47928</v>
      </c>
      <c r="C66" s="161">
        <f t="shared" si="5"/>
        <v>0.9567994889403497</v>
      </c>
    </row>
    <row r="67" spans="1:3" ht="12.75">
      <c r="A67" s="65">
        <v>120</v>
      </c>
      <c r="B67" s="178">
        <f aca="true" t="shared" si="6" ref="B67:B82">B66+A67</f>
        <v>48048</v>
      </c>
      <c r="C67" s="161">
        <f t="shared" si="5"/>
        <v>0.9591950810508664</v>
      </c>
    </row>
    <row r="68" spans="1:3" ht="12.75">
      <c r="A68" s="174">
        <v>115</v>
      </c>
      <c r="B68" s="178">
        <f t="shared" si="6"/>
        <v>48163</v>
      </c>
      <c r="C68" s="161">
        <f t="shared" si="5"/>
        <v>0.9614908568234448</v>
      </c>
    </row>
    <row r="69" spans="1:3" ht="12.75">
      <c r="A69" s="65">
        <v>109</v>
      </c>
      <c r="B69" s="178">
        <f t="shared" si="6"/>
        <v>48272</v>
      </c>
      <c r="C69" s="161">
        <f t="shared" si="5"/>
        <v>0.9636668529904975</v>
      </c>
    </row>
    <row r="70" spans="1:3" ht="12.75">
      <c r="A70" s="65">
        <v>108</v>
      </c>
      <c r="B70" s="178">
        <f t="shared" si="6"/>
        <v>48380</v>
      </c>
      <c r="C70" s="161">
        <f t="shared" si="5"/>
        <v>0.9658228858899625</v>
      </c>
    </row>
    <row r="71" spans="1:3" ht="12.75">
      <c r="A71" s="65">
        <v>104</v>
      </c>
      <c r="B71" s="178">
        <f t="shared" si="6"/>
        <v>48484</v>
      </c>
      <c r="C71" s="161">
        <f t="shared" si="5"/>
        <v>0.9678990657190769</v>
      </c>
    </row>
    <row r="72" spans="1:3" ht="12.75">
      <c r="A72" s="65">
        <v>100</v>
      </c>
      <c r="B72" s="178">
        <f t="shared" si="6"/>
        <v>48584</v>
      </c>
      <c r="C72" s="161">
        <f t="shared" si="5"/>
        <v>0.9698953924778407</v>
      </c>
    </row>
    <row r="73" spans="1:3" ht="12.75">
      <c r="A73" s="65">
        <v>93</v>
      </c>
      <c r="B73" s="178">
        <f t="shared" si="6"/>
        <v>48677</v>
      </c>
      <c r="C73" s="161">
        <f t="shared" si="5"/>
        <v>0.9717519763634912</v>
      </c>
    </row>
    <row r="74" spans="1:3" ht="12.75">
      <c r="A74" s="65">
        <v>90</v>
      </c>
      <c r="B74" s="178">
        <f t="shared" si="6"/>
        <v>48767</v>
      </c>
      <c r="C74" s="161">
        <f t="shared" si="5"/>
        <v>0.9735486704463787</v>
      </c>
    </row>
    <row r="75" spans="1:3" ht="12.75">
      <c r="A75" s="65">
        <v>88</v>
      </c>
      <c r="B75" s="178">
        <f t="shared" si="6"/>
        <v>48855</v>
      </c>
      <c r="C75" s="161">
        <f t="shared" si="5"/>
        <v>0.9753054379940909</v>
      </c>
    </row>
    <row r="76" spans="1:3" ht="12.75">
      <c r="A76" s="65">
        <v>88</v>
      </c>
      <c r="B76" s="178">
        <f t="shared" si="6"/>
        <v>48943</v>
      </c>
      <c r="C76" s="161">
        <f t="shared" si="5"/>
        <v>0.9770622055418031</v>
      </c>
    </row>
    <row r="77" spans="1:3" ht="12.75">
      <c r="A77" s="65">
        <v>80</v>
      </c>
      <c r="B77" s="178">
        <f t="shared" si="6"/>
        <v>49023</v>
      </c>
      <c r="C77" s="161">
        <f t="shared" si="5"/>
        <v>0.9786592669488142</v>
      </c>
    </row>
    <row r="78" spans="1:3" ht="12.75">
      <c r="A78" s="65">
        <v>80</v>
      </c>
      <c r="B78" s="178">
        <f t="shared" si="6"/>
        <v>49103</v>
      </c>
      <c r="C78" s="161">
        <f t="shared" si="5"/>
        <v>0.9802563283558253</v>
      </c>
    </row>
    <row r="79" spans="1:3" ht="12.75">
      <c r="A79" s="65">
        <v>75</v>
      </c>
      <c r="B79" s="178">
        <f t="shared" si="6"/>
        <v>49178</v>
      </c>
      <c r="C79" s="161">
        <f t="shared" si="5"/>
        <v>0.9817535734248982</v>
      </c>
    </row>
    <row r="80" spans="1:3" ht="12.75">
      <c r="A80" s="66">
        <v>73</v>
      </c>
      <c r="B80" s="178">
        <f t="shared" si="6"/>
        <v>49251</v>
      </c>
      <c r="C80" s="161">
        <f t="shared" si="5"/>
        <v>0.9832108919587959</v>
      </c>
    </row>
    <row r="81" spans="1:3" ht="12.75">
      <c r="A81" s="65">
        <v>65</v>
      </c>
      <c r="B81" s="178">
        <f t="shared" si="6"/>
        <v>49316</v>
      </c>
      <c r="C81" s="161">
        <f t="shared" si="5"/>
        <v>0.9845085043519923</v>
      </c>
    </row>
    <row r="82" spans="1:3" ht="12.75">
      <c r="A82" s="65">
        <v>65</v>
      </c>
      <c r="B82" s="178">
        <f t="shared" si="6"/>
        <v>49381</v>
      </c>
      <c r="C82" s="161">
        <f t="shared" si="5"/>
        <v>0.9858061167451888</v>
      </c>
    </row>
    <row r="83" spans="1:3" ht="12.75">
      <c r="A83" s="65">
        <v>58</v>
      </c>
      <c r="B83" s="178">
        <f aca="true" t="shared" si="7" ref="B83:B98">B82+A83</f>
        <v>49439</v>
      </c>
      <c r="C83" s="161">
        <f t="shared" si="5"/>
        <v>0.9869639862652719</v>
      </c>
    </row>
    <row r="84" spans="1:3" ht="12.75">
      <c r="A84" s="65">
        <v>47</v>
      </c>
      <c r="B84" s="178">
        <f t="shared" si="7"/>
        <v>49486</v>
      </c>
      <c r="C84" s="161">
        <f t="shared" si="5"/>
        <v>0.987902259841891</v>
      </c>
    </row>
    <row r="85" spans="1:3" ht="12.75">
      <c r="A85" s="65">
        <v>41</v>
      </c>
      <c r="B85" s="178">
        <f t="shared" si="7"/>
        <v>49527</v>
      </c>
      <c r="C85" s="161">
        <f t="shared" si="5"/>
        <v>0.9887207538129841</v>
      </c>
    </row>
    <row r="86" spans="1:3" ht="12.75">
      <c r="A86" s="65">
        <v>40</v>
      </c>
      <c r="B86" s="178">
        <f t="shared" si="7"/>
        <v>49567</v>
      </c>
      <c r="C86" s="161">
        <f t="shared" si="5"/>
        <v>0.9895192845164896</v>
      </c>
    </row>
    <row r="87" spans="1:3" ht="12.75">
      <c r="A87" s="65">
        <v>39</v>
      </c>
      <c r="B87" s="178">
        <f t="shared" si="7"/>
        <v>49606</v>
      </c>
      <c r="C87" s="161">
        <f t="shared" si="5"/>
        <v>0.9902978519524076</v>
      </c>
    </row>
    <row r="88" spans="1:3" ht="12.75">
      <c r="A88" s="65">
        <v>38</v>
      </c>
      <c r="B88" s="178">
        <f t="shared" si="7"/>
        <v>49644</v>
      </c>
      <c r="C88" s="161">
        <f t="shared" si="5"/>
        <v>0.9910564561207379</v>
      </c>
    </row>
    <row r="89" spans="1:3" ht="12.75">
      <c r="A89" s="65">
        <v>38</v>
      </c>
      <c r="B89" s="178">
        <f t="shared" si="7"/>
        <v>49682</v>
      </c>
      <c r="C89" s="161">
        <f t="shared" si="5"/>
        <v>0.9918150602890681</v>
      </c>
    </row>
    <row r="90" spans="1:3" ht="12.75">
      <c r="A90" s="65">
        <v>34</v>
      </c>
      <c r="B90" s="178">
        <f t="shared" si="7"/>
        <v>49716</v>
      </c>
      <c r="C90" s="161">
        <f t="shared" si="5"/>
        <v>0.9924938113870478</v>
      </c>
    </row>
    <row r="91" spans="1:3" ht="12.75">
      <c r="A91" s="65">
        <v>28</v>
      </c>
      <c r="B91" s="178">
        <f t="shared" si="7"/>
        <v>49744</v>
      </c>
      <c r="C91" s="161">
        <f t="shared" si="5"/>
        <v>0.9930527828795017</v>
      </c>
    </row>
    <row r="92" spans="1:3" ht="12.75">
      <c r="A92" s="65">
        <v>27</v>
      </c>
      <c r="B92" s="178">
        <f t="shared" si="7"/>
        <v>49771</v>
      </c>
      <c r="C92" s="161">
        <f t="shared" si="5"/>
        <v>0.993591791104368</v>
      </c>
    </row>
    <row r="93" spans="1:3" ht="12.75">
      <c r="A93" s="65">
        <v>25</v>
      </c>
      <c r="B93" s="178">
        <f t="shared" si="7"/>
        <v>49796</v>
      </c>
      <c r="C93" s="161">
        <f t="shared" si="5"/>
        <v>0.9940908727940589</v>
      </c>
    </row>
    <row r="94" spans="1:3" ht="12.75">
      <c r="A94" s="65">
        <v>25</v>
      </c>
      <c r="B94" s="178">
        <f t="shared" si="7"/>
        <v>49821</v>
      </c>
      <c r="C94" s="161">
        <f t="shared" si="5"/>
        <v>0.9945899544837499</v>
      </c>
    </row>
    <row r="95" spans="1:3" ht="12.75">
      <c r="A95" s="65">
        <v>23</v>
      </c>
      <c r="B95" s="178">
        <f t="shared" si="7"/>
        <v>49844</v>
      </c>
      <c r="C95" s="161">
        <f t="shared" si="5"/>
        <v>0.9950491096382655</v>
      </c>
    </row>
    <row r="96" spans="1:3" ht="12.75">
      <c r="A96" s="65">
        <v>23</v>
      </c>
      <c r="B96" s="178">
        <f t="shared" si="7"/>
        <v>49867</v>
      </c>
      <c r="C96" s="161">
        <f t="shared" si="5"/>
        <v>0.9955082647927813</v>
      </c>
    </row>
    <row r="97" spans="1:3" ht="12.75">
      <c r="A97" s="65">
        <v>21</v>
      </c>
      <c r="B97" s="178">
        <f t="shared" si="7"/>
        <v>49888</v>
      </c>
      <c r="C97" s="161">
        <f t="shared" si="5"/>
        <v>0.9959274934121217</v>
      </c>
    </row>
    <row r="98" spans="1:3" ht="12.75">
      <c r="A98" s="65">
        <v>19</v>
      </c>
      <c r="B98" s="178">
        <f t="shared" si="7"/>
        <v>49907</v>
      </c>
      <c r="C98" s="161">
        <f t="shared" si="5"/>
        <v>0.9963067954962869</v>
      </c>
    </row>
    <row r="99" spans="1:3" ht="12.75">
      <c r="A99" s="65">
        <v>17</v>
      </c>
      <c r="B99" s="178">
        <f aca="true" t="shared" si="8" ref="B99:B114">B98+A99</f>
        <v>49924</v>
      </c>
      <c r="C99" s="161">
        <f t="shared" si="5"/>
        <v>0.9966461710452766</v>
      </c>
    </row>
    <row r="100" spans="1:3" ht="12.75">
      <c r="A100" s="65">
        <v>15</v>
      </c>
      <c r="B100" s="178">
        <f t="shared" si="8"/>
        <v>49939</v>
      </c>
      <c r="C100" s="161">
        <f t="shared" si="5"/>
        <v>0.9969456200590913</v>
      </c>
    </row>
    <row r="101" spans="1:3" ht="12.75">
      <c r="A101" s="65">
        <v>14</v>
      </c>
      <c r="B101" s="178">
        <f t="shared" si="8"/>
        <v>49953</v>
      </c>
      <c r="C101" s="161">
        <f t="shared" si="5"/>
        <v>0.9972251058053182</v>
      </c>
    </row>
    <row r="102" spans="1:3" ht="12.75">
      <c r="A102" s="65">
        <v>14</v>
      </c>
      <c r="B102" s="178">
        <f t="shared" si="8"/>
        <v>49967</v>
      </c>
      <c r="C102" s="161">
        <f t="shared" si="5"/>
        <v>0.9975045915515451</v>
      </c>
    </row>
    <row r="103" spans="1:3" ht="12.75">
      <c r="A103" s="65">
        <v>13</v>
      </c>
      <c r="B103" s="178">
        <f t="shared" si="8"/>
        <v>49980</v>
      </c>
      <c r="C103" s="161">
        <f t="shared" si="5"/>
        <v>0.9977641140301845</v>
      </c>
    </row>
    <row r="104" spans="1:3" ht="12.75">
      <c r="A104" s="65">
        <v>12</v>
      </c>
      <c r="B104" s="178">
        <f t="shared" si="8"/>
        <v>49992</v>
      </c>
      <c r="C104" s="161">
        <f t="shared" si="5"/>
        <v>0.9980036732412362</v>
      </c>
    </row>
    <row r="105" spans="1:3" ht="12.75">
      <c r="A105" s="65">
        <v>11</v>
      </c>
      <c r="B105" s="178">
        <f t="shared" si="8"/>
        <v>50003</v>
      </c>
      <c r="C105" s="161">
        <f t="shared" si="5"/>
        <v>0.9982232691847002</v>
      </c>
    </row>
    <row r="106" spans="1:3" ht="12.75">
      <c r="A106" s="65">
        <v>10</v>
      </c>
      <c r="B106" s="178">
        <f t="shared" si="8"/>
        <v>50013</v>
      </c>
      <c r="C106" s="161">
        <f t="shared" si="5"/>
        <v>0.9984229018605766</v>
      </c>
    </row>
    <row r="107" spans="1:3" ht="12.75">
      <c r="A107" s="65">
        <v>9</v>
      </c>
      <c r="B107" s="178">
        <f t="shared" si="8"/>
        <v>50022</v>
      </c>
      <c r="C107" s="161">
        <f t="shared" si="5"/>
        <v>0.9986025712688653</v>
      </c>
    </row>
    <row r="108" spans="1:3" ht="12.75">
      <c r="A108" s="65">
        <v>9</v>
      </c>
      <c r="B108" s="178">
        <f t="shared" si="8"/>
        <v>50031</v>
      </c>
      <c r="C108" s="161">
        <f t="shared" si="5"/>
        <v>0.998782240677154</v>
      </c>
    </row>
    <row r="109" spans="1:3" ht="12.75">
      <c r="A109" s="65">
        <v>8</v>
      </c>
      <c r="B109" s="178">
        <f t="shared" si="8"/>
        <v>50039</v>
      </c>
      <c r="C109" s="161">
        <f t="shared" si="5"/>
        <v>0.9989419468178552</v>
      </c>
    </row>
    <row r="110" spans="1:3" ht="12.75">
      <c r="A110" s="65">
        <v>7</v>
      </c>
      <c r="B110" s="178">
        <f t="shared" si="8"/>
        <v>50046</v>
      </c>
      <c r="C110" s="161">
        <f t="shared" si="5"/>
        <v>0.9990816896909687</v>
      </c>
    </row>
    <row r="111" spans="1:3" ht="12.75">
      <c r="A111" s="65">
        <v>7</v>
      </c>
      <c r="B111" s="178">
        <f t="shared" si="8"/>
        <v>50053</v>
      </c>
      <c r="C111" s="161">
        <f t="shared" si="5"/>
        <v>0.9992214325640821</v>
      </c>
    </row>
    <row r="112" spans="1:3" ht="12.75">
      <c r="A112" s="65">
        <v>6</v>
      </c>
      <c r="B112" s="178">
        <f t="shared" si="8"/>
        <v>50059</v>
      </c>
      <c r="C112" s="161">
        <f t="shared" si="5"/>
        <v>0.9993412121696079</v>
      </c>
    </row>
    <row r="113" spans="1:3" ht="12.75">
      <c r="A113" s="65">
        <v>5</v>
      </c>
      <c r="B113" s="178">
        <f t="shared" si="8"/>
        <v>50064</v>
      </c>
      <c r="C113" s="161">
        <f t="shared" si="5"/>
        <v>0.9994410285075461</v>
      </c>
    </row>
    <row r="114" spans="1:3" ht="12.75">
      <c r="A114" s="65">
        <v>5</v>
      </c>
      <c r="B114" s="178">
        <f t="shared" si="8"/>
        <v>50069</v>
      </c>
      <c r="C114" s="161">
        <f t="shared" si="5"/>
        <v>0.9995408448454843</v>
      </c>
    </row>
    <row r="115" spans="1:3" ht="12.75">
      <c r="A115" s="65">
        <v>4</v>
      </c>
      <c r="B115" s="178">
        <f>B114+A115</f>
        <v>50073</v>
      </c>
      <c r="C115" s="161">
        <f t="shared" si="5"/>
        <v>0.9996206979158349</v>
      </c>
    </row>
    <row r="116" spans="1:3" ht="12.75">
      <c r="A116" s="65">
        <v>4</v>
      </c>
      <c r="B116" s="178">
        <f>B115+A116</f>
        <v>50077</v>
      </c>
      <c r="C116" s="161">
        <f t="shared" si="5"/>
        <v>0.9997005509861854</v>
      </c>
    </row>
    <row r="117" spans="1:3" ht="12.75">
      <c r="A117" s="65">
        <v>4</v>
      </c>
      <c r="B117" s="178">
        <f aca="true" t="shared" si="9" ref="B117:B123">B116+A117</f>
        <v>50081</v>
      </c>
      <c r="C117" s="161">
        <f t="shared" si="5"/>
        <v>0.999780404056536</v>
      </c>
    </row>
    <row r="118" spans="1:3" ht="12.75">
      <c r="A118" s="65">
        <v>3</v>
      </c>
      <c r="B118" s="178">
        <f t="shared" si="9"/>
        <v>50084</v>
      </c>
      <c r="C118" s="161">
        <f t="shared" si="5"/>
        <v>0.9998402938592988</v>
      </c>
    </row>
    <row r="119" spans="1:3" ht="12.75">
      <c r="A119" s="65">
        <v>2</v>
      </c>
      <c r="B119" s="178">
        <f t="shared" si="9"/>
        <v>50086</v>
      </c>
      <c r="C119" s="161">
        <f t="shared" si="5"/>
        <v>0.9998802203944742</v>
      </c>
    </row>
    <row r="120" spans="1:3" ht="12.75">
      <c r="A120" s="65">
        <v>2</v>
      </c>
      <c r="B120" s="178">
        <f t="shared" si="9"/>
        <v>50088</v>
      </c>
      <c r="C120" s="161">
        <f t="shared" si="5"/>
        <v>0.9999201469296495</v>
      </c>
    </row>
    <row r="121" spans="1:3" ht="12.75">
      <c r="A121" s="65">
        <v>2</v>
      </c>
      <c r="B121" s="178">
        <f t="shared" si="9"/>
        <v>50090</v>
      </c>
      <c r="C121" s="161">
        <f t="shared" si="5"/>
        <v>0.9999600734648247</v>
      </c>
    </row>
    <row r="122" spans="1:3" ht="12.75">
      <c r="A122" s="65">
        <v>1</v>
      </c>
      <c r="B122" s="178">
        <f t="shared" si="9"/>
        <v>50091</v>
      </c>
      <c r="C122" s="161">
        <f t="shared" si="5"/>
        <v>0.9999800367324123</v>
      </c>
    </row>
    <row r="123" spans="1:3" ht="12.75">
      <c r="A123" s="65">
        <v>1</v>
      </c>
      <c r="B123" s="178">
        <f t="shared" si="9"/>
        <v>50092</v>
      </c>
      <c r="C123" s="161">
        <f>B123/B$123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6">
      <selection activeCell="A24" sqref="A24"/>
    </sheetView>
  </sheetViews>
  <sheetFormatPr defaultColWidth="11.421875" defaultRowHeight="12.75"/>
  <cols>
    <col min="1" max="1" width="24.28125" style="0" customWidth="1"/>
    <col min="2" max="5" width="14.57421875" style="0" customWidth="1"/>
  </cols>
  <sheetData>
    <row r="1" spans="2:13" ht="12.75">
      <c r="B1" s="4">
        <v>1998</v>
      </c>
      <c r="C1" s="48">
        <v>2</v>
      </c>
      <c r="D1" s="48">
        <v>3</v>
      </c>
      <c r="E1" s="48">
        <v>4</v>
      </c>
      <c r="F1" s="4">
        <v>1999</v>
      </c>
      <c r="G1" s="48">
        <v>2</v>
      </c>
      <c r="H1" s="48">
        <v>3</v>
      </c>
      <c r="I1" s="48">
        <v>4</v>
      </c>
      <c r="J1" s="4">
        <v>2000</v>
      </c>
      <c r="K1" s="48">
        <v>2</v>
      </c>
      <c r="L1" s="48">
        <v>3</v>
      </c>
      <c r="M1" s="48">
        <v>4</v>
      </c>
    </row>
    <row r="2" spans="1:13" s="193" customFormat="1" ht="12.75">
      <c r="A2" s="193" t="s">
        <v>214</v>
      </c>
      <c r="B2" s="194">
        <v>5669</v>
      </c>
      <c r="C2" s="194">
        <v>5031</v>
      </c>
      <c r="D2" s="194">
        <v>5440</v>
      </c>
      <c r="E2" s="194">
        <v>7294</v>
      </c>
      <c r="F2" s="194">
        <v>7578</v>
      </c>
      <c r="G2" s="194">
        <v>6839</v>
      </c>
      <c r="H2" s="194">
        <v>8139</v>
      </c>
      <c r="I2" s="194">
        <v>10141</v>
      </c>
      <c r="J2" s="193">
        <v>10518</v>
      </c>
      <c r="K2" s="193">
        <v>10667</v>
      </c>
      <c r="L2" s="193">
        <v>10066</v>
      </c>
      <c r="M2" s="193">
        <v>12097</v>
      </c>
    </row>
    <row r="3" spans="1:13" s="193" customFormat="1" ht="12.75">
      <c r="A3" s="193" t="s">
        <v>14</v>
      </c>
      <c r="B3" s="195">
        <v>10049</v>
      </c>
      <c r="C3" s="195">
        <v>9604</v>
      </c>
      <c r="D3" s="195">
        <v>8788</v>
      </c>
      <c r="E3" s="195">
        <v>11337</v>
      </c>
      <c r="F3" s="195">
        <v>11229</v>
      </c>
      <c r="G3" s="195">
        <v>9680</v>
      </c>
      <c r="H3" s="195">
        <v>10393</v>
      </c>
      <c r="I3" s="195">
        <v>12366</v>
      </c>
      <c r="J3" s="193">
        <v>12885</v>
      </c>
      <c r="K3" s="193">
        <v>12254</v>
      </c>
      <c r="L3" s="193">
        <v>11412</v>
      </c>
      <c r="M3" s="193">
        <v>13532</v>
      </c>
    </row>
    <row r="4" spans="1:13" ht="12.75">
      <c r="A4" t="s">
        <v>245</v>
      </c>
      <c r="B4" s="192">
        <f>B2/B3</f>
        <v>0.5641357348989949</v>
      </c>
      <c r="C4" s="192">
        <f aca="true" t="shared" si="0" ref="C4:M4">C2/C3</f>
        <v>0.5238442315701791</v>
      </c>
      <c r="D4" s="192">
        <f t="shared" si="0"/>
        <v>0.6190259444697315</v>
      </c>
      <c r="E4" s="192">
        <f t="shared" si="0"/>
        <v>0.6433800829143512</v>
      </c>
      <c r="F4" s="192">
        <f t="shared" si="0"/>
        <v>0.6748597381779321</v>
      </c>
      <c r="G4" s="192">
        <f t="shared" si="0"/>
        <v>0.7065082644628099</v>
      </c>
      <c r="H4" s="192">
        <f t="shared" si="0"/>
        <v>0.7831232560377177</v>
      </c>
      <c r="I4" s="192">
        <f t="shared" si="0"/>
        <v>0.8200711628659227</v>
      </c>
      <c r="J4" s="192">
        <f t="shared" si="0"/>
        <v>0.8162980209545984</v>
      </c>
      <c r="K4" s="192">
        <f t="shared" si="0"/>
        <v>0.8704912681573364</v>
      </c>
      <c r="L4" s="192">
        <f t="shared" si="0"/>
        <v>0.8820539782684893</v>
      </c>
      <c r="M4" s="192">
        <f t="shared" si="0"/>
        <v>0.8939550694649719</v>
      </c>
    </row>
    <row r="25" spans="1:4" ht="12.75">
      <c r="A25" t="s">
        <v>247</v>
      </c>
      <c r="B25" s="196">
        <v>1998</v>
      </c>
      <c r="C25" s="196">
        <v>1999</v>
      </c>
      <c r="D25" s="196">
        <v>2000</v>
      </c>
    </row>
    <row r="26" spans="1:4" ht="12.75">
      <c r="A26" t="s">
        <v>29</v>
      </c>
      <c r="B26" s="193">
        <v>161.47781062</v>
      </c>
      <c r="C26" s="193">
        <v>190.54547025</v>
      </c>
      <c r="D26" s="193">
        <v>225.32597371</v>
      </c>
    </row>
    <row r="27" spans="1:4" ht="12.75">
      <c r="A27" t="s">
        <v>246</v>
      </c>
      <c r="B27">
        <v>39778</v>
      </c>
      <c r="C27">
        <v>43668</v>
      </c>
      <c r="D27">
        <v>50083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4"/>
  <sheetViews>
    <sheetView tabSelected="1" workbookViewId="0" topLeftCell="A1">
      <pane ySplit="2" topLeftCell="BM199" activePane="bottomLeft" state="frozen"/>
      <selection pane="topLeft" activeCell="A1" sqref="A1"/>
      <selection pane="bottomLeft" activeCell="A219" sqref="A219:IV219"/>
    </sheetView>
  </sheetViews>
  <sheetFormatPr defaultColWidth="11.421875" defaultRowHeight="12.75"/>
  <cols>
    <col min="1" max="1" width="4.140625" style="6" customWidth="1"/>
    <col min="2" max="2" width="4.140625" style="7" customWidth="1"/>
    <col min="3" max="3" width="30.57421875" style="7" customWidth="1"/>
    <col min="4" max="4" width="4.8515625" style="8" customWidth="1"/>
    <col min="5" max="5" width="5.140625" style="8" customWidth="1"/>
    <col min="6" max="6" width="5.57421875" style="34" customWidth="1"/>
    <col min="7" max="7" width="7.140625" style="9" customWidth="1"/>
    <col min="8" max="9" width="7.28125" style="30" customWidth="1"/>
    <col min="10" max="10" width="7.00390625" style="30" customWidth="1"/>
    <col min="11" max="11" width="6.8515625" style="65" customWidth="1"/>
    <col min="12" max="12" width="6.8515625" style="10" customWidth="1"/>
    <col min="13" max="13" width="9.421875" style="10" customWidth="1"/>
    <col min="14" max="14" width="10.28125" style="10" customWidth="1"/>
    <col min="15" max="16" width="9.140625" style="9" customWidth="1"/>
    <col min="17" max="20" width="9.140625" style="76" customWidth="1"/>
    <col min="21" max="16384" width="9.140625" style="9" customWidth="1"/>
  </cols>
  <sheetData>
    <row r="1" spans="1:20" s="4" customFormat="1" ht="10.5">
      <c r="A1" s="1" t="s">
        <v>18</v>
      </c>
      <c r="B1" s="2" t="s">
        <v>19</v>
      </c>
      <c r="C1" s="2" t="s">
        <v>20</v>
      </c>
      <c r="D1" s="3" t="s">
        <v>21</v>
      </c>
      <c r="E1" s="3" t="s">
        <v>22</v>
      </c>
      <c r="F1" s="33" t="s">
        <v>23</v>
      </c>
      <c r="G1" s="4" t="s">
        <v>24</v>
      </c>
      <c r="H1" s="48" t="s">
        <v>25</v>
      </c>
      <c r="I1" s="48" t="s">
        <v>26</v>
      </c>
      <c r="J1" s="48" t="s">
        <v>27</v>
      </c>
      <c r="K1" s="86" t="s">
        <v>28</v>
      </c>
      <c r="L1" s="5" t="s">
        <v>29</v>
      </c>
      <c r="M1" s="5"/>
      <c r="N1" s="5"/>
      <c r="O1" s="9"/>
      <c r="Q1" s="77"/>
      <c r="R1" s="93"/>
      <c r="S1" s="94"/>
      <c r="T1" s="95"/>
    </row>
    <row r="2" spans="1:20" s="60" customFormat="1" ht="10.5">
      <c r="A2" s="56"/>
      <c r="B2" s="57"/>
      <c r="C2" s="57"/>
      <c r="D2" s="58"/>
      <c r="E2" s="58"/>
      <c r="F2" s="59" t="s">
        <v>30</v>
      </c>
      <c r="G2" s="60" t="s">
        <v>31</v>
      </c>
      <c r="H2" s="61" t="s">
        <v>31</v>
      </c>
      <c r="I2" s="61" t="s">
        <v>31</v>
      </c>
      <c r="J2" s="61" t="s">
        <v>31</v>
      </c>
      <c r="K2" s="66" t="s">
        <v>31</v>
      </c>
      <c r="L2" s="62" t="s">
        <v>32</v>
      </c>
      <c r="M2" s="62"/>
      <c r="N2" s="62"/>
      <c r="O2" s="9"/>
      <c r="Q2" s="78"/>
      <c r="R2" s="76"/>
      <c r="S2" s="76"/>
      <c r="T2" s="76"/>
    </row>
    <row r="4" spans="1:12" ht="10.5">
      <c r="A4" s="6" t="s">
        <v>33</v>
      </c>
      <c r="B4" s="7" t="s">
        <v>34</v>
      </c>
      <c r="C4" s="99" t="s">
        <v>35</v>
      </c>
      <c r="D4" s="8" t="s">
        <v>36</v>
      </c>
      <c r="E4" s="31">
        <v>8</v>
      </c>
      <c r="F4" s="34">
        <f aca="true" t="shared" si="0" ref="F4:F10">L4*1.23</f>
        <v>4907.7</v>
      </c>
      <c r="G4" s="9">
        <v>321</v>
      </c>
      <c r="H4" s="30">
        <v>389</v>
      </c>
      <c r="I4" s="9">
        <v>367</v>
      </c>
      <c r="J4" s="30">
        <v>347</v>
      </c>
      <c r="K4" s="65">
        <f aca="true" t="shared" si="1" ref="K4:K10">G4+H4+I4+J4</f>
        <v>1424</v>
      </c>
      <c r="L4" s="49">
        <v>3990</v>
      </c>
    </row>
    <row r="5" spans="1:12" ht="10.5">
      <c r="A5" s="6" t="s">
        <v>33</v>
      </c>
      <c r="B5" s="7" t="s">
        <v>34</v>
      </c>
      <c r="C5" s="99" t="s">
        <v>37</v>
      </c>
      <c r="D5" s="8" t="s">
        <v>38</v>
      </c>
      <c r="E5" s="31">
        <v>8</v>
      </c>
      <c r="F5" s="34">
        <f t="shared" si="0"/>
        <v>5289</v>
      </c>
      <c r="G5" s="9">
        <v>98</v>
      </c>
      <c r="H5" s="30">
        <v>152</v>
      </c>
      <c r="I5" s="9">
        <v>127</v>
      </c>
      <c r="J5" s="30">
        <v>164</v>
      </c>
      <c r="K5" s="65">
        <f t="shared" si="1"/>
        <v>541</v>
      </c>
      <c r="L5" s="49">
        <v>4300</v>
      </c>
    </row>
    <row r="6" spans="1:12" ht="10.5">
      <c r="A6" s="6" t="s">
        <v>33</v>
      </c>
      <c r="B6" s="7" t="s">
        <v>34</v>
      </c>
      <c r="C6" s="99" t="s">
        <v>39</v>
      </c>
      <c r="D6" s="8" t="s">
        <v>40</v>
      </c>
      <c r="E6" s="31">
        <v>8</v>
      </c>
      <c r="F6" s="34">
        <f t="shared" si="0"/>
        <v>5289</v>
      </c>
      <c r="G6" s="9">
        <v>54</v>
      </c>
      <c r="H6" s="30">
        <v>61</v>
      </c>
      <c r="I6" s="9">
        <v>79</v>
      </c>
      <c r="J6" s="30">
        <v>85</v>
      </c>
      <c r="K6" s="65">
        <f t="shared" si="1"/>
        <v>279</v>
      </c>
      <c r="L6" s="49">
        <v>4300</v>
      </c>
    </row>
    <row r="7" spans="1:12" ht="10.5">
      <c r="A7" s="6" t="s">
        <v>33</v>
      </c>
      <c r="B7" s="7" t="s">
        <v>34</v>
      </c>
      <c r="C7" s="7" t="s">
        <v>235</v>
      </c>
      <c r="D7" s="8" t="s">
        <v>36</v>
      </c>
      <c r="E7" s="31">
        <v>8</v>
      </c>
      <c r="F7" s="34">
        <f>L7*1.23</f>
        <v>6099.57</v>
      </c>
      <c r="H7" s="9"/>
      <c r="I7" s="9"/>
      <c r="J7" s="9">
        <v>268</v>
      </c>
      <c r="K7" s="152">
        <f>G7+H7+I7+J7</f>
        <v>268</v>
      </c>
      <c r="L7" s="32">
        <v>4959</v>
      </c>
    </row>
    <row r="8" spans="1:12" ht="10.5">
      <c r="A8" s="6" t="s">
        <v>33</v>
      </c>
      <c r="B8" s="7" t="s">
        <v>34</v>
      </c>
      <c r="C8" s="99" t="s">
        <v>41</v>
      </c>
      <c r="D8" s="8" t="s">
        <v>36</v>
      </c>
      <c r="E8" s="31" t="s">
        <v>42</v>
      </c>
      <c r="F8" s="34">
        <f t="shared" si="0"/>
        <v>3321</v>
      </c>
      <c r="G8" s="9">
        <v>83</v>
      </c>
      <c r="H8" s="30">
        <v>59</v>
      </c>
      <c r="I8" s="9">
        <v>52</v>
      </c>
      <c r="J8" s="30">
        <v>48</v>
      </c>
      <c r="K8" s="65">
        <f t="shared" si="1"/>
        <v>242</v>
      </c>
      <c r="L8" s="49">
        <v>2700</v>
      </c>
    </row>
    <row r="9" spans="1:12" ht="10.5">
      <c r="A9" s="6" t="s">
        <v>33</v>
      </c>
      <c r="B9" s="7" t="s">
        <v>34</v>
      </c>
      <c r="C9" s="99" t="s">
        <v>43</v>
      </c>
      <c r="D9" s="8" t="s">
        <v>36</v>
      </c>
      <c r="E9" s="31">
        <v>5</v>
      </c>
      <c r="F9" s="34">
        <f t="shared" si="0"/>
        <v>3321</v>
      </c>
      <c r="G9" s="9">
        <v>46</v>
      </c>
      <c r="H9" s="30">
        <v>26</v>
      </c>
      <c r="I9" s="9">
        <v>23</v>
      </c>
      <c r="J9" s="30">
        <v>37</v>
      </c>
      <c r="K9" s="65">
        <f t="shared" si="1"/>
        <v>132</v>
      </c>
      <c r="L9" s="49">
        <v>2700</v>
      </c>
    </row>
    <row r="10" spans="1:12" ht="11.25" thickBot="1">
      <c r="A10" s="6" t="s">
        <v>33</v>
      </c>
      <c r="B10" s="7" t="s">
        <v>34</v>
      </c>
      <c r="C10" s="99" t="s">
        <v>44</v>
      </c>
      <c r="D10" s="8" t="s">
        <v>36</v>
      </c>
      <c r="E10" s="31">
        <v>8</v>
      </c>
      <c r="F10" s="34">
        <f t="shared" si="0"/>
        <v>5227.5</v>
      </c>
      <c r="G10" s="9">
        <v>47</v>
      </c>
      <c r="H10" s="30">
        <v>19</v>
      </c>
      <c r="I10" s="9">
        <v>15</v>
      </c>
      <c r="J10" s="30">
        <v>27</v>
      </c>
      <c r="K10" s="65">
        <f t="shared" si="1"/>
        <v>108</v>
      </c>
      <c r="L10" s="49">
        <v>4250</v>
      </c>
    </row>
    <row r="11" spans="1:14" ht="10.5">
      <c r="A11" s="12" t="s">
        <v>33</v>
      </c>
      <c r="B11" s="13"/>
      <c r="C11" s="13" t="s">
        <v>45</v>
      </c>
      <c r="D11" s="14"/>
      <c r="E11" s="14"/>
      <c r="F11" s="35"/>
      <c r="G11" s="42">
        <f>SUM(G4:G10)</f>
        <v>649</v>
      </c>
      <c r="H11" s="42">
        <f>SUM(H4:H10)</f>
        <v>706</v>
      </c>
      <c r="I11" s="42">
        <f>SUM(I4:I10)</f>
        <v>663</v>
      </c>
      <c r="J11" s="42">
        <f>SUM(J4:J10)</f>
        <v>976</v>
      </c>
      <c r="K11" s="67">
        <f>SUM(K4:K10)</f>
        <v>2994</v>
      </c>
      <c r="L11" s="96"/>
      <c r="M11" s="16"/>
      <c r="N11" s="16"/>
    </row>
    <row r="12" spans="1:14" ht="10.5">
      <c r="A12" s="6" t="s">
        <v>33</v>
      </c>
      <c r="C12" s="27" t="s">
        <v>46</v>
      </c>
      <c r="G12" s="74">
        <f>G11/G176</f>
        <v>0.0503686457120683</v>
      </c>
      <c r="H12" s="74">
        <f>H11/H176</f>
        <v>0.057613840378651866</v>
      </c>
      <c r="I12" s="74">
        <f>I11/I176</f>
        <v>0.058096740273396424</v>
      </c>
      <c r="J12" s="74">
        <f>J11/J176</f>
        <v>0.07212533254507833</v>
      </c>
      <c r="K12" s="73">
        <f>K11/K176</f>
        <v>0.05978076393187309</v>
      </c>
      <c r="L12" s="64"/>
      <c r="M12" s="74"/>
      <c r="N12" s="74"/>
    </row>
    <row r="13" spans="1:12" ht="10.5">
      <c r="A13" s="6" t="s">
        <v>33</v>
      </c>
      <c r="C13" s="7" t="s">
        <v>47</v>
      </c>
      <c r="G13" s="29"/>
      <c r="H13" s="30">
        <f>G11+H11</f>
        <v>1355</v>
      </c>
      <c r="I13" s="30">
        <f>G11+H11+I11</f>
        <v>2018</v>
      </c>
      <c r="J13" s="30">
        <f>G11+H11+I11+J11</f>
        <v>2994</v>
      </c>
      <c r="L13" s="64"/>
    </row>
    <row r="14" spans="7:12" ht="10.5">
      <c r="G14" s="29"/>
      <c r="L14" s="64"/>
    </row>
    <row r="15" spans="1:12" ht="10.5">
      <c r="A15" s="6" t="s">
        <v>48</v>
      </c>
      <c r="B15" s="7" t="s">
        <v>49</v>
      </c>
      <c r="C15" s="144" t="s">
        <v>50</v>
      </c>
      <c r="D15" s="8" t="s">
        <v>36</v>
      </c>
      <c r="E15" s="8">
        <v>8</v>
      </c>
      <c r="F15" s="34">
        <v>4649.4</v>
      </c>
      <c r="G15" s="11">
        <v>-2</v>
      </c>
      <c r="H15" s="34"/>
      <c r="K15" s="65">
        <f>G15+H15+I15+J15</f>
        <v>-2</v>
      </c>
      <c r="L15" s="49">
        <v>3780</v>
      </c>
    </row>
    <row r="16" spans="1:12" ht="10.5">
      <c r="A16" s="6" t="s">
        <v>48</v>
      </c>
      <c r="B16" s="7" t="s">
        <v>51</v>
      </c>
      <c r="C16" s="144">
        <v>8262</v>
      </c>
      <c r="D16" s="8" t="s">
        <v>36</v>
      </c>
      <c r="E16" s="8">
        <v>5</v>
      </c>
      <c r="F16" s="34">
        <f>L16*1.23</f>
        <v>3399.72</v>
      </c>
      <c r="G16" s="11">
        <v>2</v>
      </c>
      <c r="H16" s="34"/>
      <c r="I16" s="34"/>
      <c r="J16" s="34"/>
      <c r="K16" s="65">
        <f>G16+H16+I16+J16</f>
        <v>2</v>
      </c>
      <c r="L16" s="49">
        <v>2764</v>
      </c>
    </row>
    <row r="17" spans="1:12" ht="10.5">
      <c r="A17" s="6" t="s">
        <v>48</v>
      </c>
      <c r="B17" s="7" t="s">
        <v>52</v>
      </c>
      <c r="C17" s="99" t="s">
        <v>53</v>
      </c>
      <c r="D17" s="8" t="s">
        <v>36</v>
      </c>
      <c r="E17" s="31">
        <v>6</v>
      </c>
      <c r="F17" s="34">
        <f aca="true" t="shared" si="2" ref="F17:F25">L17*1.23</f>
        <v>3399.72</v>
      </c>
      <c r="G17" s="9">
        <v>139</v>
      </c>
      <c r="H17" s="30">
        <v>135</v>
      </c>
      <c r="I17" s="30">
        <v>47</v>
      </c>
      <c r="J17" s="30">
        <v>99</v>
      </c>
      <c r="K17" s="65">
        <f aca="true" t="shared" si="3" ref="K17:K25">G17+H17+I17+J17</f>
        <v>420</v>
      </c>
      <c r="L17" s="49">
        <v>2764</v>
      </c>
    </row>
    <row r="18" spans="1:12" ht="10.5">
      <c r="A18" s="6" t="s">
        <v>48</v>
      </c>
      <c r="B18" s="7" t="s">
        <v>52</v>
      </c>
      <c r="C18" s="99" t="s">
        <v>54</v>
      </c>
      <c r="D18" s="8" t="s">
        <v>38</v>
      </c>
      <c r="E18" s="31" t="s">
        <v>55</v>
      </c>
      <c r="F18" s="34">
        <f t="shared" si="2"/>
        <v>3699.84</v>
      </c>
      <c r="G18" s="9">
        <v>56</v>
      </c>
      <c r="H18" s="30">
        <v>86</v>
      </c>
      <c r="I18" s="30">
        <v>58</v>
      </c>
      <c r="J18" s="30">
        <v>48</v>
      </c>
      <c r="K18" s="65">
        <f t="shared" si="3"/>
        <v>248</v>
      </c>
      <c r="L18" s="49">
        <v>3008</v>
      </c>
    </row>
    <row r="19" spans="1:12" ht="10.5">
      <c r="A19" s="6" t="s">
        <v>48</v>
      </c>
      <c r="B19" s="7" t="s">
        <v>52</v>
      </c>
      <c r="C19" s="99" t="s">
        <v>56</v>
      </c>
      <c r="D19" s="8" t="s">
        <v>36</v>
      </c>
      <c r="E19" s="31">
        <v>6</v>
      </c>
      <c r="F19" s="34">
        <f t="shared" si="2"/>
        <v>3394.7999999999997</v>
      </c>
      <c r="G19" s="9">
        <v>74</v>
      </c>
      <c r="H19" s="30">
        <v>54</v>
      </c>
      <c r="I19" s="30">
        <v>56</v>
      </c>
      <c r="J19" s="30">
        <v>25</v>
      </c>
      <c r="K19" s="65">
        <f t="shared" si="3"/>
        <v>209</v>
      </c>
      <c r="L19" s="49">
        <v>2760</v>
      </c>
    </row>
    <row r="20" spans="1:12" ht="10.5">
      <c r="A20" s="6" t="s">
        <v>48</v>
      </c>
      <c r="B20" s="7" t="s">
        <v>52</v>
      </c>
      <c r="C20" s="165" t="s">
        <v>236</v>
      </c>
      <c r="D20" s="8" t="s">
        <v>36</v>
      </c>
      <c r="E20" s="31">
        <v>8</v>
      </c>
      <c r="F20" s="34">
        <f t="shared" si="2"/>
        <v>6186.9</v>
      </c>
      <c r="G20" s="30">
        <v>55</v>
      </c>
      <c r="H20" s="30">
        <v>33</v>
      </c>
      <c r="I20" s="30">
        <v>18</v>
      </c>
      <c r="J20" s="30">
        <v>27</v>
      </c>
      <c r="K20" s="65">
        <f t="shared" si="3"/>
        <v>133</v>
      </c>
      <c r="L20" s="49">
        <v>5030</v>
      </c>
    </row>
    <row r="21" spans="1:12" ht="10.5">
      <c r="A21" s="6" t="s">
        <v>48</v>
      </c>
      <c r="B21" s="7" t="s">
        <v>52</v>
      </c>
      <c r="C21" s="99" t="s">
        <v>57</v>
      </c>
      <c r="D21" s="8" t="s">
        <v>36</v>
      </c>
      <c r="E21" s="8">
        <v>5</v>
      </c>
      <c r="F21" s="34">
        <f t="shared" si="2"/>
        <v>3399.72</v>
      </c>
      <c r="G21" s="9">
        <v>45</v>
      </c>
      <c r="H21" s="30">
        <v>17</v>
      </c>
      <c r="I21" s="30">
        <v>27</v>
      </c>
      <c r="J21" s="30">
        <v>15</v>
      </c>
      <c r="K21" s="65">
        <f t="shared" si="3"/>
        <v>104</v>
      </c>
      <c r="L21" s="49">
        <v>2764</v>
      </c>
    </row>
    <row r="22" spans="1:12" ht="10.5">
      <c r="A22" s="6" t="s">
        <v>48</v>
      </c>
      <c r="B22" s="7" t="s">
        <v>52</v>
      </c>
      <c r="C22" s="99" t="s">
        <v>58</v>
      </c>
      <c r="D22" s="8" t="s">
        <v>36</v>
      </c>
      <c r="E22" s="8">
        <v>5</v>
      </c>
      <c r="F22" s="34">
        <f t="shared" si="2"/>
        <v>3382.5</v>
      </c>
      <c r="G22" s="10">
        <v>31</v>
      </c>
      <c r="H22" s="30">
        <v>3</v>
      </c>
      <c r="I22" s="30">
        <v>27</v>
      </c>
      <c r="J22" s="30">
        <v>39</v>
      </c>
      <c r="K22" s="65">
        <f t="shared" si="3"/>
        <v>100</v>
      </c>
      <c r="L22" s="49">
        <v>2750</v>
      </c>
    </row>
    <row r="23" spans="1:12" ht="10.5">
      <c r="A23" s="6" t="s">
        <v>48</v>
      </c>
      <c r="B23" s="7" t="s">
        <v>52</v>
      </c>
      <c r="C23" s="165" t="s">
        <v>237</v>
      </c>
      <c r="D23" s="8" t="s">
        <v>38</v>
      </c>
      <c r="E23" s="31">
        <v>8</v>
      </c>
      <c r="F23" s="34">
        <f t="shared" si="2"/>
        <v>6273</v>
      </c>
      <c r="G23" s="30">
        <v>3</v>
      </c>
      <c r="H23" s="30">
        <v>1</v>
      </c>
      <c r="I23" s="30">
        <v>7</v>
      </c>
      <c r="J23" s="30">
        <v>4</v>
      </c>
      <c r="K23" s="65">
        <f t="shared" si="3"/>
        <v>15</v>
      </c>
      <c r="L23" s="49">
        <v>5100</v>
      </c>
    </row>
    <row r="24" spans="1:12" ht="10.5">
      <c r="A24" s="6" t="s">
        <v>48</v>
      </c>
      <c r="B24" s="7" t="s">
        <v>52</v>
      </c>
      <c r="C24" s="99" t="s">
        <v>59</v>
      </c>
      <c r="D24" s="8" t="s">
        <v>36</v>
      </c>
      <c r="E24" s="8">
        <v>6</v>
      </c>
      <c r="F24" s="34">
        <f>L24*1.23</f>
        <v>3198</v>
      </c>
      <c r="G24" s="9">
        <v>0</v>
      </c>
      <c r="H24" s="30">
        <v>2</v>
      </c>
      <c r="I24" s="30">
        <v>2</v>
      </c>
      <c r="J24" s="30">
        <v>10</v>
      </c>
      <c r="K24" s="65">
        <f>G24+H24+I24+J24</f>
        <v>14</v>
      </c>
      <c r="L24" s="49">
        <v>2600</v>
      </c>
    </row>
    <row r="25" spans="1:12" ht="10.5">
      <c r="A25" s="6" t="s">
        <v>48</v>
      </c>
      <c r="B25" s="7" t="s">
        <v>52</v>
      </c>
      <c r="C25" s="165" t="s">
        <v>241</v>
      </c>
      <c r="D25" s="8" t="s">
        <v>38</v>
      </c>
      <c r="E25" s="31">
        <v>8</v>
      </c>
      <c r="F25" s="34">
        <f t="shared" si="2"/>
        <v>7564.5</v>
      </c>
      <c r="G25" s="9">
        <v>6</v>
      </c>
      <c r="H25" s="30">
        <v>6</v>
      </c>
      <c r="I25" s="30">
        <v>-1</v>
      </c>
      <c r="J25" s="30">
        <v>0</v>
      </c>
      <c r="K25" s="65">
        <f t="shared" si="3"/>
        <v>11</v>
      </c>
      <c r="L25" s="49">
        <v>6150</v>
      </c>
    </row>
    <row r="26" spans="1:12" ht="10.5">
      <c r="A26" s="6" t="s">
        <v>48</v>
      </c>
      <c r="B26" s="7" t="s">
        <v>52</v>
      </c>
      <c r="C26" s="99" t="s">
        <v>60</v>
      </c>
      <c r="D26" s="8" t="s">
        <v>36</v>
      </c>
      <c r="E26" s="8">
        <v>3</v>
      </c>
      <c r="F26" s="34">
        <f>L26*1.23</f>
        <v>4637.1</v>
      </c>
      <c r="G26" s="10">
        <v>3</v>
      </c>
      <c r="H26" s="30">
        <v>1</v>
      </c>
      <c r="I26" s="30">
        <v>2</v>
      </c>
      <c r="J26" s="30">
        <v>4</v>
      </c>
      <c r="K26" s="65">
        <f>G26+H26+I26+J26</f>
        <v>10</v>
      </c>
      <c r="L26" s="49">
        <v>3770</v>
      </c>
    </row>
    <row r="27" spans="1:14" ht="10.5">
      <c r="A27" s="2"/>
      <c r="B27" s="2" t="s">
        <v>52</v>
      </c>
      <c r="C27" s="2" t="s">
        <v>14</v>
      </c>
      <c r="D27" s="3"/>
      <c r="E27" s="3"/>
      <c r="F27" s="33"/>
      <c r="G27" s="4">
        <f>SUM(G17:G26)</f>
        <v>412</v>
      </c>
      <c r="H27" s="48">
        <f>SUM(H17:H26)</f>
        <v>338</v>
      </c>
      <c r="I27" s="48">
        <f>SUM(I17:I26)</f>
        <v>243</v>
      </c>
      <c r="J27" s="48">
        <f>SUM(J17:J26)</f>
        <v>271</v>
      </c>
      <c r="K27" s="86">
        <f>SUM(K17:K26)</f>
        <v>1264</v>
      </c>
      <c r="L27" s="97"/>
      <c r="M27" s="5"/>
      <c r="N27" s="5"/>
    </row>
    <row r="28" spans="1:12" ht="10.5">
      <c r="A28" s="6" t="s">
        <v>48</v>
      </c>
      <c r="B28" s="7" t="s">
        <v>61</v>
      </c>
      <c r="C28" s="7" t="s">
        <v>62</v>
      </c>
      <c r="D28" s="8" t="s">
        <v>36</v>
      </c>
      <c r="E28" s="8">
        <v>6</v>
      </c>
      <c r="F28" s="34">
        <f>L28*1.23</f>
        <v>3394.7999999999997</v>
      </c>
      <c r="H28" s="30">
        <v>10</v>
      </c>
      <c r="I28" s="30">
        <v>5</v>
      </c>
      <c r="J28" s="30">
        <v>23</v>
      </c>
      <c r="K28" s="65">
        <f>G28+H28+I28+J28</f>
        <v>38</v>
      </c>
      <c r="L28" s="49">
        <v>2760</v>
      </c>
    </row>
    <row r="29" spans="1:20" s="29" customFormat="1" ht="10.5">
      <c r="A29" s="6" t="s">
        <v>48</v>
      </c>
      <c r="B29" s="7" t="s">
        <v>61</v>
      </c>
      <c r="C29" s="99" t="s">
        <v>65</v>
      </c>
      <c r="D29" s="8" t="s">
        <v>36</v>
      </c>
      <c r="E29" s="31" t="s">
        <v>55</v>
      </c>
      <c r="F29" s="34">
        <f>L29*1.23</f>
        <v>3191.85</v>
      </c>
      <c r="G29" s="9">
        <v>11</v>
      </c>
      <c r="H29" s="30"/>
      <c r="I29" s="30">
        <v>6</v>
      </c>
      <c r="J29" s="30">
        <v>0</v>
      </c>
      <c r="K29" s="65">
        <f>G29+H29+I29+J29</f>
        <v>17</v>
      </c>
      <c r="L29" s="49">
        <v>2595</v>
      </c>
      <c r="M29" s="10"/>
      <c r="N29" s="10"/>
      <c r="O29" s="9"/>
      <c r="Q29" s="79"/>
      <c r="R29" s="79"/>
      <c r="S29" s="79"/>
      <c r="T29" s="79"/>
    </row>
    <row r="30" spans="1:12" ht="10.5">
      <c r="A30" s="6" t="s">
        <v>48</v>
      </c>
      <c r="B30" s="7" t="s">
        <v>61</v>
      </c>
      <c r="C30" s="156" t="s">
        <v>63</v>
      </c>
      <c r="D30" s="8" t="s">
        <v>64</v>
      </c>
      <c r="E30" s="8">
        <v>7</v>
      </c>
      <c r="F30" s="34">
        <f>L30*1.23</f>
        <v>7249.62</v>
      </c>
      <c r="G30" s="9">
        <v>1</v>
      </c>
      <c r="H30" s="30">
        <v>2</v>
      </c>
      <c r="I30" s="30">
        <v>1</v>
      </c>
      <c r="J30" s="30">
        <v>0</v>
      </c>
      <c r="K30" s="65">
        <f>G30+H30+I30+J30</f>
        <v>4</v>
      </c>
      <c r="L30" s="49">
        <v>5894</v>
      </c>
    </row>
    <row r="31" spans="1:12" ht="10.5">
      <c r="A31" s="6" t="s">
        <v>48</v>
      </c>
      <c r="B31" s="7" t="s">
        <v>61</v>
      </c>
      <c r="C31" s="7">
        <v>132</v>
      </c>
      <c r="D31" s="8" t="s">
        <v>36</v>
      </c>
      <c r="E31" s="8">
        <v>6</v>
      </c>
      <c r="F31" s="34">
        <f>L31*1.23</f>
        <v>3121.74</v>
      </c>
      <c r="H31" s="30">
        <v>1</v>
      </c>
      <c r="K31" s="65">
        <f>G31+H31+I31+J31</f>
        <v>1</v>
      </c>
      <c r="L31" s="49">
        <v>2538</v>
      </c>
    </row>
    <row r="32" spans="1:14" ht="11.25" thickBot="1">
      <c r="A32" s="2"/>
      <c r="B32" s="2" t="s">
        <v>61</v>
      </c>
      <c r="C32" s="2" t="s">
        <v>14</v>
      </c>
      <c r="D32" s="3"/>
      <c r="E32" s="3"/>
      <c r="F32" s="33"/>
      <c r="G32" s="4">
        <f>SUM(G28:G31)</f>
        <v>12</v>
      </c>
      <c r="H32" s="4">
        <f>SUM(H28:H31)</f>
        <v>13</v>
      </c>
      <c r="I32" s="4">
        <f>SUM(I28:I31)</f>
        <v>12</v>
      </c>
      <c r="J32" s="4">
        <f>SUM(J28:J31)</f>
        <v>23</v>
      </c>
      <c r="K32" s="4">
        <f>SUM(K28:K31)</f>
        <v>60</v>
      </c>
      <c r="L32" s="97"/>
      <c r="M32" s="4"/>
      <c r="N32" s="4"/>
    </row>
    <row r="33" spans="1:14" ht="10.5">
      <c r="A33" s="12" t="s">
        <v>48</v>
      </c>
      <c r="B33" s="13" t="s">
        <v>66</v>
      </c>
      <c r="C33" s="13" t="s">
        <v>67</v>
      </c>
      <c r="D33" s="14" t="s">
        <v>66</v>
      </c>
      <c r="E33" s="14"/>
      <c r="F33" s="35"/>
      <c r="G33" s="35">
        <f>SUM(G15:G16)+G27+G32</f>
        <v>424</v>
      </c>
      <c r="H33" s="35">
        <f>SUM(H15:H16)+H27+H32</f>
        <v>351</v>
      </c>
      <c r="I33" s="35">
        <f>SUM(I15:I16)+I27+I32</f>
        <v>255</v>
      </c>
      <c r="J33" s="35">
        <f>SUM(J15:J16)+J27+J32</f>
        <v>294</v>
      </c>
      <c r="K33" s="104">
        <f>SUM(K15:K16)+K27+K32</f>
        <v>1324</v>
      </c>
      <c r="L33" s="35"/>
      <c r="M33" s="106"/>
      <c r="N33" s="106"/>
    </row>
    <row r="34" spans="1:14" ht="10.5">
      <c r="A34" s="26" t="s">
        <v>48</v>
      </c>
      <c r="B34" s="27"/>
      <c r="C34" s="27" t="s">
        <v>46</v>
      </c>
      <c r="D34" s="28"/>
      <c r="E34" s="28"/>
      <c r="F34" s="36"/>
      <c r="G34" s="72">
        <f>G33/G176</f>
        <v>0.03290648040357004</v>
      </c>
      <c r="H34" s="74">
        <f>H33/H176</f>
        <v>0.02864370817692182</v>
      </c>
      <c r="I34" s="74">
        <f>I33/I176</f>
        <v>0.02234490010515247</v>
      </c>
      <c r="J34" s="74">
        <f>J33/J176</f>
        <v>0.021726278451078922</v>
      </c>
      <c r="K34" s="73">
        <f>K33/K176</f>
        <v>0.02643611604736138</v>
      </c>
      <c r="L34" s="64"/>
      <c r="M34" s="72"/>
      <c r="N34" s="72"/>
    </row>
    <row r="35" spans="1:12" ht="10.5">
      <c r="A35" s="6" t="s">
        <v>48</v>
      </c>
      <c r="C35" s="7" t="s">
        <v>47</v>
      </c>
      <c r="H35" s="30">
        <f>G33+H33</f>
        <v>775</v>
      </c>
      <c r="I35" s="30">
        <f>G33+H33+I33</f>
        <v>1030</v>
      </c>
      <c r="J35" s="30">
        <f>G33+H33+I33+J33</f>
        <v>1324</v>
      </c>
      <c r="L35" s="64"/>
    </row>
    <row r="36" ht="10.5">
      <c r="L36" s="64"/>
    </row>
    <row r="37" spans="1:12" ht="10.5">
      <c r="A37" s="6" t="s">
        <v>68</v>
      </c>
      <c r="B37" s="7" t="s">
        <v>69</v>
      </c>
      <c r="C37" s="99" t="s">
        <v>70</v>
      </c>
      <c r="D37" s="8" t="s">
        <v>36</v>
      </c>
      <c r="E37" s="8">
        <v>6</v>
      </c>
      <c r="F37" s="34">
        <f>L37*1.23</f>
        <v>3200.0049</v>
      </c>
      <c r="H37" s="30">
        <v>2</v>
      </c>
      <c r="I37" s="30">
        <v>3</v>
      </c>
      <c r="J37" s="30">
        <v>3</v>
      </c>
      <c r="K37" s="65">
        <f>G37+H37+I37+J37</f>
        <v>8</v>
      </c>
      <c r="L37" s="49">
        <v>2601.63</v>
      </c>
    </row>
    <row r="38" spans="1:12" ht="10.5">
      <c r="A38" s="6" t="s">
        <v>68</v>
      </c>
      <c r="B38" s="7" t="s">
        <v>69</v>
      </c>
      <c r="C38" s="99" t="s">
        <v>71</v>
      </c>
      <c r="D38" s="8" t="s">
        <v>36</v>
      </c>
      <c r="E38" s="8">
        <v>5</v>
      </c>
      <c r="F38" s="34">
        <f>L38*1.23</f>
        <v>3150.0054</v>
      </c>
      <c r="J38" s="30">
        <v>5</v>
      </c>
      <c r="K38" s="65">
        <f>G38+H38+I38+J38</f>
        <v>5</v>
      </c>
      <c r="L38" s="49">
        <v>2560.98</v>
      </c>
    </row>
    <row r="39" spans="2:14" ht="10.5">
      <c r="B39" s="7" t="s">
        <v>69</v>
      </c>
      <c r="C39" s="153" t="s">
        <v>14</v>
      </c>
      <c r="D39" s="3"/>
      <c r="E39" s="3"/>
      <c r="F39" s="33"/>
      <c r="G39" s="48">
        <f>SUM(G37:G38)</f>
        <v>0</v>
      </c>
      <c r="H39" s="48">
        <f>SUM(H37:H38)</f>
        <v>2</v>
      </c>
      <c r="I39" s="48">
        <f>SUM(I37:I38)</f>
        <v>3</v>
      </c>
      <c r="J39" s="48">
        <f>SUM(J37:J38)</f>
        <v>8</v>
      </c>
      <c r="K39" s="86">
        <f>SUM(K37:K38)</f>
        <v>13</v>
      </c>
      <c r="L39" s="48"/>
      <c r="M39" s="5"/>
      <c r="N39" s="5"/>
    </row>
    <row r="40" spans="1:256" ht="10.5">
      <c r="A40" s="6" t="s">
        <v>68</v>
      </c>
      <c r="B40" s="7" t="s">
        <v>72</v>
      </c>
      <c r="C40" s="164" t="s">
        <v>75</v>
      </c>
      <c r="D40" s="8" t="s">
        <v>36</v>
      </c>
      <c r="E40" s="18">
        <v>8</v>
      </c>
      <c r="F40" s="34">
        <f aca="true" t="shared" si="4" ref="F40:F51">L40*1.23</f>
        <v>5399.995199999999</v>
      </c>
      <c r="G40" s="9">
        <v>258</v>
      </c>
      <c r="H40" s="30">
        <v>196</v>
      </c>
      <c r="I40" s="30">
        <v>212</v>
      </c>
      <c r="J40" s="30">
        <v>215</v>
      </c>
      <c r="K40" s="65">
        <f aca="true" t="shared" si="5" ref="K40:K51">G40+H40+I40+J40</f>
        <v>881</v>
      </c>
      <c r="L40" s="49">
        <v>4390.24</v>
      </c>
      <c r="IV40" s="11"/>
    </row>
    <row r="41" spans="1:256" ht="10.5">
      <c r="A41" s="6" t="s">
        <v>68</v>
      </c>
      <c r="B41" s="7" t="s">
        <v>72</v>
      </c>
      <c r="C41" s="163" t="s">
        <v>74</v>
      </c>
      <c r="D41" s="8" t="s">
        <v>36</v>
      </c>
      <c r="E41" s="18">
        <v>8</v>
      </c>
      <c r="F41" s="34">
        <f t="shared" si="4"/>
        <v>5399.995199999999</v>
      </c>
      <c r="G41" s="9">
        <v>205</v>
      </c>
      <c r="H41" s="30">
        <v>236</v>
      </c>
      <c r="I41" s="30">
        <v>229</v>
      </c>
      <c r="J41" s="30">
        <v>205</v>
      </c>
      <c r="K41" s="65">
        <f>G41+H41+I41+J41</f>
        <v>875</v>
      </c>
      <c r="L41" s="49">
        <v>4390.24</v>
      </c>
      <c r="IV41" s="11">
        <f>SUM(E41:IU41)</f>
        <v>11548.2352</v>
      </c>
    </row>
    <row r="42" spans="1:256" ht="10.5">
      <c r="A42" s="6" t="s">
        <v>68</v>
      </c>
      <c r="B42" s="7" t="s">
        <v>72</v>
      </c>
      <c r="C42" s="99" t="s">
        <v>73</v>
      </c>
      <c r="D42" s="8" t="s">
        <v>40</v>
      </c>
      <c r="E42" s="18">
        <v>8</v>
      </c>
      <c r="F42" s="34">
        <f t="shared" si="4"/>
        <v>6599.9955</v>
      </c>
      <c r="G42" s="9">
        <v>82</v>
      </c>
      <c r="H42" s="30">
        <v>61</v>
      </c>
      <c r="I42" s="30">
        <v>244</v>
      </c>
      <c r="J42" s="30">
        <v>294</v>
      </c>
      <c r="K42" s="65">
        <f t="shared" si="5"/>
        <v>681</v>
      </c>
      <c r="L42" s="49">
        <v>5365.85</v>
      </c>
      <c r="IV42" s="11"/>
    </row>
    <row r="43" spans="1:256" ht="10.5">
      <c r="A43" s="6" t="s">
        <v>68</v>
      </c>
      <c r="B43" s="7" t="s">
        <v>72</v>
      </c>
      <c r="C43" s="99" t="s">
        <v>76</v>
      </c>
      <c r="D43" s="8" t="s">
        <v>40</v>
      </c>
      <c r="E43" s="18">
        <v>8</v>
      </c>
      <c r="F43" s="34">
        <f t="shared" si="4"/>
        <v>6599.9955</v>
      </c>
      <c r="G43" s="9">
        <v>24</v>
      </c>
      <c r="H43" s="30">
        <v>32</v>
      </c>
      <c r="I43" s="30">
        <v>65</v>
      </c>
      <c r="J43" s="30">
        <v>117</v>
      </c>
      <c r="K43" s="65">
        <f t="shared" si="5"/>
        <v>238</v>
      </c>
      <c r="L43" s="49">
        <v>5365.85</v>
      </c>
      <c r="IV43" s="11"/>
    </row>
    <row r="44" spans="1:12" ht="10.5">
      <c r="A44" s="6" t="s">
        <v>68</v>
      </c>
      <c r="B44" s="7" t="s">
        <v>72</v>
      </c>
      <c r="C44" s="144" t="s">
        <v>78</v>
      </c>
      <c r="D44" s="8" t="s">
        <v>36</v>
      </c>
      <c r="E44" s="18">
        <v>8</v>
      </c>
      <c r="F44" s="34">
        <f t="shared" si="4"/>
        <v>6699.9945</v>
      </c>
      <c r="I44" s="30">
        <v>4</v>
      </c>
      <c r="J44" s="30">
        <v>141</v>
      </c>
      <c r="K44" s="65">
        <f t="shared" si="5"/>
        <v>145</v>
      </c>
      <c r="L44" s="49">
        <v>5447.15</v>
      </c>
    </row>
    <row r="45" spans="1:256" ht="10.5">
      <c r="A45" s="6" t="s">
        <v>68</v>
      </c>
      <c r="B45" s="7" t="s">
        <v>72</v>
      </c>
      <c r="C45" s="99" t="s">
        <v>77</v>
      </c>
      <c r="D45" s="8" t="s">
        <v>38</v>
      </c>
      <c r="E45" s="18">
        <v>8</v>
      </c>
      <c r="F45" s="34">
        <f t="shared" si="4"/>
        <v>6599.9955</v>
      </c>
      <c r="G45" s="9">
        <v>13</v>
      </c>
      <c r="H45" s="30">
        <v>12</v>
      </c>
      <c r="I45" s="30">
        <v>27</v>
      </c>
      <c r="J45" s="30">
        <v>28</v>
      </c>
      <c r="K45" s="65">
        <f t="shared" si="5"/>
        <v>80</v>
      </c>
      <c r="L45" s="49">
        <v>5365.85</v>
      </c>
      <c r="IV45" s="11"/>
    </row>
    <row r="46" spans="1:12" ht="10.5">
      <c r="A46" s="6" t="s">
        <v>68</v>
      </c>
      <c r="B46" s="7" t="s">
        <v>72</v>
      </c>
      <c r="C46" s="144" t="s">
        <v>233</v>
      </c>
      <c r="E46" s="18">
        <v>8</v>
      </c>
      <c r="F46" s="34">
        <f t="shared" si="4"/>
        <v>5399.995199999999</v>
      </c>
      <c r="J46" s="30">
        <v>23</v>
      </c>
      <c r="K46" s="65">
        <f t="shared" si="5"/>
        <v>23</v>
      </c>
      <c r="L46" s="49">
        <v>4390.24</v>
      </c>
    </row>
    <row r="47" spans="1:256" ht="10.5">
      <c r="A47" s="6" t="s">
        <v>68</v>
      </c>
      <c r="B47" s="7" t="s">
        <v>72</v>
      </c>
      <c r="C47" s="99" t="s">
        <v>79</v>
      </c>
      <c r="D47" s="8" t="s">
        <v>40</v>
      </c>
      <c r="E47" s="18">
        <v>6</v>
      </c>
      <c r="F47" s="34">
        <f t="shared" si="4"/>
        <v>3650.0004</v>
      </c>
      <c r="G47" s="9">
        <v>6</v>
      </c>
      <c r="I47" s="30">
        <v>1</v>
      </c>
      <c r="K47" s="65">
        <f t="shared" si="5"/>
        <v>7</v>
      </c>
      <c r="L47" s="49">
        <v>2967.48</v>
      </c>
      <c r="IV47" s="9">
        <f>SUM(E47:IU47)</f>
        <v>6637.4804</v>
      </c>
    </row>
    <row r="48" spans="1:256" ht="10.5">
      <c r="A48" s="6" t="s">
        <v>68</v>
      </c>
      <c r="B48" s="7" t="s">
        <v>72</v>
      </c>
      <c r="C48" s="99" t="s">
        <v>80</v>
      </c>
      <c r="D48" s="8" t="s">
        <v>38</v>
      </c>
      <c r="E48" s="18">
        <v>6</v>
      </c>
      <c r="F48" s="34">
        <f t="shared" si="4"/>
        <v>3650.0004</v>
      </c>
      <c r="G48" s="9">
        <v>2</v>
      </c>
      <c r="H48" s="30">
        <v>2</v>
      </c>
      <c r="K48" s="65">
        <f t="shared" si="5"/>
        <v>4</v>
      </c>
      <c r="L48" s="49">
        <v>2967.48</v>
      </c>
      <c r="IV48" s="9">
        <f>SUM(E48:IU48)</f>
        <v>6631.4804</v>
      </c>
    </row>
    <row r="49" spans="1:12" ht="10.5">
      <c r="A49" s="6" t="s">
        <v>68</v>
      </c>
      <c r="B49" s="7" t="s">
        <v>72</v>
      </c>
      <c r="C49" s="144" t="s">
        <v>230</v>
      </c>
      <c r="D49" s="8" t="s">
        <v>40</v>
      </c>
      <c r="E49" s="18">
        <v>8</v>
      </c>
      <c r="F49" s="34">
        <f t="shared" si="4"/>
        <v>7499.9988</v>
      </c>
      <c r="J49" s="30">
        <v>4</v>
      </c>
      <c r="K49" s="65">
        <f t="shared" si="5"/>
        <v>4</v>
      </c>
      <c r="L49" s="49">
        <v>6097.56</v>
      </c>
    </row>
    <row r="50" spans="1:12" ht="10.5">
      <c r="A50" s="6" t="s">
        <v>68</v>
      </c>
      <c r="B50" s="7" t="s">
        <v>72</v>
      </c>
      <c r="C50" s="144" t="s">
        <v>231</v>
      </c>
      <c r="D50" s="8" t="s">
        <v>40</v>
      </c>
      <c r="E50" s="18">
        <v>8</v>
      </c>
      <c r="F50" s="34">
        <f t="shared" si="4"/>
        <v>7000.0038</v>
      </c>
      <c r="J50" s="30">
        <v>2</v>
      </c>
      <c r="K50" s="65">
        <f t="shared" si="5"/>
        <v>2</v>
      </c>
      <c r="L50" s="49">
        <v>5691.06</v>
      </c>
    </row>
    <row r="51" spans="1:12" ht="10.5">
      <c r="A51" s="6" t="s">
        <v>68</v>
      </c>
      <c r="B51" s="7" t="s">
        <v>72</v>
      </c>
      <c r="C51" s="144" t="s">
        <v>232</v>
      </c>
      <c r="D51" s="8" t="s">
        <v>38</v>
      </c>
      <c r="E51" s="18">
        <v>8</v>
      </c>
      <c r="F51" s="34">
        <f t="shared" si="4"/>
        <v>7499.9988</v>
      </c>
      <c r="J51" s="30">
        <v>2</v>
      </c>
      <c r="K51" s="65">
        <f t="shared" si="5"/>
        <v>2</v>
      </c>
      <c r="L51" s="49">
        <v>6097.56</v>
      </c>
    </row>
    <row r="52" spans="2:256" ht="11.25" thickBot="1">
      <c r="B52" s="7" t="s">
        <v>72</v>
      </c>
      <c r="C52" s="2" t="s">
        <v>14</v>
      </c>
      <c r="D52" s="3"/>
      <c r="E52" s="87"/>
      <c r="F52" s="33"/>
      <c r="G52" s="4">
        <f>SUM(G40:G51)</f>
        <v>590</v>
      </c>
      <c r="H52" s="4">
        <f>SUM(H40:H51)</f>
        <v>539</v>
      </c>
      <c r="I52" s="4">
        <f>SUM(I40:I51)</f>
        <v>782</v>
      </c>
      <c r="J52" s="4">
        <f>SUM(J40:J51)</f>
        <v>1031</v>
      </c>
      <c r="K52" s="86">
        <f>SUM(K40:K51)</f>
        <v>2942</v>
      </c>
      <c r="L52" s="97"/>
      <c r="M52" s="5"/>
      <c r="N52" s="5"/>
      <c r="IV52" s="11"/>
    </row>
    <row r="53" spans="1:14" ht="10.5">
      <c r="A53" s="12" t="s">
        <v>68</v>
      </c>
      <c r="B53" s="13"/>
      <c r="C53" s="13" t="s">
        <v>81</v>
      </c>
      <c r="D53" s="14"/>
      <c r="E53" s="14"/>
      <c r="F53" s="35"/>
      <c r="G53" s="15">
        <f>G39+G52</f>
        <v>590</v>
      </c>
      <c r="H53" s="42">
        <f>H39+H52</f>
        <v>541</v>
      </c>
      <c r="I53" s="42">
        <f>I39+I52</f>
        <v>785</v>
      </c>
      <c r="J53" s="42">
        <f>J39+J52</f>
        <v>1039</v>
      </c>
      <c r="K53" s="67">
        <f>K39+K52</f>
        <v>2955</v>
      </c>
      <c r="L53" s="96"/>
      <c r="M53" s="16"/>
      <c r="N53" s="16"/>
    </row>
    <row r="54" spans="1:14" ht="10.5">
      <c r="A54" s="26" t="s">
        <v>68</v>
      </c>
      <c r="B54" s="27"/>
      <c r="C54" s="27" t="s">
        <v>46</v>
      </c>
      <c r="D54" s="28"/>
      <c r="E54" s="28"/>
      <c r="F54" s="36"/>
      <c r="G54" s="72">
        <f>G53/G176</f>
        <v>0.04578967792006209</v>
      </c>
      <c r="H54" s="74">
        <f>H53/H176</f>
        <v>0.044148849355312554</v>
      </c>
      <c r="I54" s="74">
        <f>I53/I176</f>
        <v>0.06878724150017525</v>
      </c>
      <c r="J54" s="74">
        <f>J53/J176</f>
        <v>0.0767809636417381</v>
      </c>
      <c r="K54" s="73">
        <f>K53/K176</f>
        <v>0.05900205658606713</v>
      </c>
      <c r="L54" s="64"/>
      <c r="M54" s="72"/>
      <c r="N54" s="72"/>
    </row>
    <row r="55" spans="1:12" ht="10.5">
      <c r="A55" s="6" t="s">
        <v>68</v>
      </c>
      <c r="C55" s="7" t="s">
        <v>47</v>
      </c>
      <c r="H55" s="30">
        <f>G53+H53</f>
        <v>1131</v>
      </c>
      <c r="I55" s="30">
        <f>G53+H53+I53</f>
        <v>1916</v>
      </c>
      <c r="J55" s="30">
        <f>G53+H53+I53+J53</f>
        <v>2955</v>
      </c>
      <c r="L55" s="64"/>
    </row>
    <row r="56" spans="12:16" ht="10.5">
      <c r="L56" s="64"/>
      <c r="O56" s="29"/>
      <c r="P56" s="29"/>
    </row>
    <row r="57" spans="1:256" ht="10.5">
      <c r="A57" s="6" t="s">
        <v>82</v>
      </c>
      <c r="B57" s="7" t="s">
        <v>83</v>
      </c>
      <c r="C57" s="99" t="s">
        <v>84</v>
      </c>
      <c r="D57" s="8" t="s">
        <v>36</v>
      </c>
      <c r="E57" s="31">
        <v>8</v>
      </c>
      <c r="F57" s="34">
        <f aca="true" t="shared" si="6" ref="F57:F64">L57*1.23</f>
        <v>5339.43</v>
      </c>
      <c r="G57" s="9">
        <v>580</v>
      </c>
      <c r="H57" s="30">
        <v>435</v>
      </c>
      <c r="I57" s="30">
        <v>250</v>
      </c>
      <c r="J57" s="10">
        <v>245</v>
      </c>
      <c r="K57" s="65">
        <f aca="true" t="shared" si="7" ref="K57:K64">G57+H57+I57+J57</f>
        <v>1510</v>
      </c>
      <c r="L57" s="49">
        <v>4341</v>
      </c>
      <c r="S57" s="79"/>
      <c r="T57" s="7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16" ht="10.5">
      <c r="A58" s="6" t="s">
        <v>82</v>
      </c>
      <c r="B58" s="7" t="s">
        <v>83</v>
      </c>
      <c r="C58" s="99" t="s">
        <v>85</v>
      </c>
      <c r="D58" s="8" t="s">
        <v>40</v>
      </c>
      <c r="E58" s="8">
        <v>8</v>
      </c>
      <c r="F58" s="34">
        <f t="shared" si="6"/>
        <v>5339.43</v>
      </c>
      <c r="G58" s="9">
        <v>211</v>
      </c>
      <c r="H58" s="30">
        <v>304</v>
      </c>
      <c r="I58" s="30">
        <v>272</v>
      </c>
      <c r="J58" s="10">
        <v>176</v>
      </c>
      <c r="K58" s="65">
        <f t="shared" si="7"/>
        <v>963</v>
      </c>
      <c r="L58" s="49">
        <v>4341</v>
      </c>
      <c r="O58" s="29"/>
      <c r="P58" s="29"/>
    </row>
    <row r="59" spans="1:20" s="29" customFormat="1" ht="10.5">
      <c r="A59" s="6" t="s">
        <v>82</v>
      </c>
      <c r="B59" s="7" t="s">
        <v>83</v>
      </c>
      <c r="C59" s="99" t="s">
        <v>86</v>
      </c>
      <c r="D59" s="8" t="s">
        <v>38</v>
      </c>
      <c r="E59" s="18">
        <v>8</v>
      </c>
      <c r="F59" s="34">
        <f>L59*1.23</f>
        <v>5339.43</v>
      </c>
      <c r="G59" s="9"/>
      <c r="H59" s="30">
        <v>145</v>
      </c>
      <c r="I59" s="30">
        <v>205</v>
      </c>
      <c r="J59" s="10">
        <v>391</v>
      </c>
      <c r="K59" s="65">
        <f>G59+H59+I59+J59</f>
        <v>741</v>
      </c>
      <c r="L59" s="49">
        <v>4341</v>
      </c>
      <c r="M59" s="10"/>
      <c r="N59" s="10"/>
      <c r="O59" s="9"/>
      <c r="P59" s="9"/>
      <c r="Q59" s="76"/>
      <c r="R59" s="76"/>
      <c r="S59" s="79"/>
      <c r="T59" s="79"/>
    </row>
    <row r="60" spans="1:20" s="29" customFormat="1" ht="10.5">
      <c r="A60" s="6" t="s">
        <v>82</v>
      </c>
      <c r="B60" s="7" t="s">
        <v>83</v>
      </c>
      <c r="C60" s="99" t="s">
        <v>91</v>
      </c>
      <c r="D60" s="8" t="s">
        <v>40</v>
      </c>
      <c r="E60" s="18">
        <v>8</v>
      </c>
      <c r="F60" s="34">
        <f>L60*1.23</f>
        <v>5899.08</v>
      </c>
      <c r="G60" s="9"/>
      <c r="H60" s="30">
        <v>15</v>
      </c>
      <c r="I60" s="30">
        <v>53</v>
      </c>
      <c r="J60" s="10">
        <v>212</v>
      </c>
      <c r="K60" s="65">
        <f>G60+H60+I60+J60</f>
        <v>280</v>
      </c>
      <c r="L60" s="49">
        <v>4796</v>
      </c>
      <c r="M60" s="10"/>
      <c r="N60" s="10"/>
      <c r="O60" s="9"/>
      <c r="P60" s="9"/>
      <c r="Q60" s="76"/>
      <c r="R60" s="76"/>
      <c r="S60" s="79"/>
      <c r="T60" s="79"/>
    </row>
    <row r="61" spans="1:256" s="29" customFormat="1" ht="10.5">
      <c r="A61" s="6" t="s">
        <v>82</v>
      </c>
      <c r="B61" s="7" t="s">
        <v>83</v>
      </c>
      <c r="C61" s="99" t="s">
        <v>88</v>
      </c>
      <c r="D61" s="8" t="s">
        <v>36</v>
      </c>
      <c r="E61" s="8">
        <v>5</v>
      </c>
      <c r="F61" s="34">
        <f t="shared" si="6"/>
        <v>3399.72</v>
      </c>
      <c r="G61" s="9">
        <v>63</v>
      </c>
      <c r="H61" s="30">
        <v>41</v>
      </c>
      <c r="I61" s="30">
        <v>38</v>
      </c>
      <c r="J61" s="10">
        <v>38</v>
      </c>
      <c r="K61" s="65">
        <f t="shared" si="7"/>
        <v>180</v>
      </c>
      <c r="L61" s="49">
        <v>2764</v>
      </c>
      <c r="M61" s="10"/>
      <c r="N61" s="10"/>
      <c r="O61" s="9"/>
      <c r="P61" s="9"/>
      <c r="Q61" s="76"/>
      <c r="R61" s="76"/>
      <c r="S61" s="76"/>
      <c r="T61" s="7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15" ht="10.5">
      <c r="A62" s="6" t="s">
        <v>82</v>
      </c>
      <c r="B62" s="7" t="s">
        <v>83</v>
      </c>
      <c r="C62" s="99" t="s">
        <v>87</v>
      </c>
      <c r="D62" s="8" t="s">
        <v>40</v>
      </c>
      <c r="E62" s="31">
        <v>6</v>
      </c>
      <c r="F62" s="34">
        <f t="shared" si="6"/>
        <v>3671.5499999999997</v>
      </c>
      <c r="G62" s="9">
        <v>84</v>
      </c>
      <c r="H62" s="30">
        <v>50</v>
      </c>
      <c r="I62" s="30">
        <v>12</v>
      </c>
      <c r="J62" s="10">
        <v>6</v>
      </c>
      <c r="K62" s="65">
        <f t="shared" si="7"/>
        <v>152</v>
      </c>
      <c r="L62" s="49">
        <v>2985</v>
      </c>
      <c r="O62" s="29"/>
    </row>
    <row r="63" spans="1:15" ht="10.5">
      <c r="A63" s="6" t="s">
        <v>82</v>
      </c>
      <c r="B63" s="7" t="s">
        <v>83</v>
      </c>
      <c r="C63" s="99" t="s">
        <v>89</v>
      </c>
      <c r="D63" s="8" t="s">
        <v>36</v>
      </c>
      <c r="E63" s="31">
        <v>4</v>
      </c>
      <c r="F63" s="34">
        <f t="shared" si="6"/>
        <v>3308.7</v>
      </c>
      <c r="G63" s="9">
        <v>40</v>
      </c>
      <c r="H63" s="30">
        <v>15</v>
      </c>
      <c r="I63" s="30">
        <v>7</v>
      </c>
      <c r="J63" s="10">
        <v>3</v>
      </c>
      <c r="K63" s="65">
        <f t="shared" si="7"/>
        <v>65</v>
      </c>
      <c r="L63" s="49">
        <v>2690</v>
      </c>
      <c r="O63" s="29"/>
    </row>
    <row r="64" spans="1:256" ht="10.5">
      <c r="A64" s="6" t="s">
        <v>82</v>
      </c>
      <c r="B64" s="7" t="s">
        <v>83</v>
      </c>
      <c r="C64" s="99" t="s">
        <v>92</v>
      </c>
      <c r="D64" s="8" t="s">
        <v>36</v>
      </c>
      <c r="E64" s="31" t="s">
        <v>93</v>
      </c>
      <c r="F64" s="34">
        <f t="shared" si="6"/>
        <v>3399.72</v>
      </c>
      <c r="G64" s="9">
        <v>27</v>
      </c>
      <c r="H64" s="30">
        <v>4</v>
      </c>
      <c r="I64" s="30">
        <v>6</v>
      </c>
      <c r="J64" s="10">
        <v>4</v>
      </c>
      <c r="K64" s="65">
        <f t="shared" si="7"/>
        <v>41</v>
      </c>
      <c r="L64" s="49">
        <v>2764</v>
      </c>
      <c r="S64" s="79"/>
      <c r="T64" s="7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15" ht="11.25" thickBot="1">
      <c r="A65" s="6" t="s">
        <v>82</v>
      </c>
      <c r="B65" s="7" t="s">
        <v>83</v>
      </c>
      <c r="C65" s="144" t="s">
        <v>90</v>
      </c>
      <c r="D65" s="8" t="s">
        <v>36</v>
      </c>
      <c r="E65" s="31">
        <v>5</v>
      </c>
      <c r="F65" s="34">
        <f>L65*1.23</f>
        <v>3394.7999999999997</v>
      </c>
      <c r="G65" s="9">
        <v>2</v>
      </c>
      <c r="H65" s="30">
        <v>15</v>
      </c>
      <c r="I65" s="30">
        <v>1</v>
      </c>
      <c r="J65" s="10">
        <v>5</v>
      </c>
      <c r="K65" s="65">
        <f>G65+H65+I65+J65</f>
        <v>23</v>
      </c>
      <c r="L65" s="49">
        <v>2760</v>
      </c>
      <c r="O65" s="29"/>
    </row>
    <row r="66" spans="1:20" s="29" customFormat="1" ht="10.5">
      <c r="A66" s="12" t="s">
        <v>82</v>
      </c>
      <c r="B66" s="13"/>
      <c r="C66" s="13" t="s">
        <v>94</v>
      </c>
      <c r="D66" s="14"/>
      <c r="E66" s="14"/>
      <c r="F66" s="35"/>
      <c r="G66" s="42">
        <f>SUM(G57:G65)</f>
        <v>1007</v>
      </c>
      <c r="H66" s="42">
        <f>SUM(H57:H65)</f>
        <v>1024</v>
      </c>
      <c r="I66" s="42">
        <f>SUM(I57:I65)</f>
        <v>844</v>
      </c>
      <c r="J66" s="42">
        <f>SUM(J57:J65)</f>
        <v>1080</v>
      </c>
      <c r="K66" s="67">
        <f>SUM(K57:K65)</f>
        <v>3955</v>
      </c>
      <c r="L66" s="96"/>
      <c r="M66" s="16"/>
      <c r="N66" s="16"/>
      <c r="O66" s="9"/>
      <c r="P66" s="9"/>
      <c r="Q66" s="76"/>
      <c r="R66" s="76"/>
      <c r="S66" s="79"/>
      <c r="T66" s="79"/>
    </row>
    <row r="67" spans="1:14" ht="10.5">
      <c r="A67" s="6" t="s">
        <v>82</v>
      </c>
      <c r="B67" s="27"/>
      <c r="C67" s="27" t="s">
        <v>46</v>
      </c>
      <c r="D67" s="28"/>
      <c r="E67" s="28"/>
      <c r="F67" s="36"/>
      <c r="G67" s="72">
        <f>G66/G176</f>
        <v>0.07815289095847885</v>
      </c>
      <c r="H67" s="74">
        <f>H66/H176</f>
        <v>0.08356455035090583</v>
      </c>
      <c r="I67" s="74">
        <f>I66/I176</f>
        <v>0.07395723799509288</v>
      </c>
      <c r="J67" s="74">
        <f>J66/J176</f>
        <v>0.07981081879988176</v>
      </c>
      <c r="K67" s="73">
        <f>K66/K176</f>
        <v>0.07896891160673282</v>
      </c>
      <c r="L67" s="64"/>
      <c r="M67" s="72"/>
      <c r="N67" s="72"/>
    </row>
    <row r="68" spans="1:12" ht="10.5">
      <c r="A68" s="6" t="s">
        <v>82</v>
      </c>
      <c r="C68" s="7" t="s">
        <v>47</v>
      </c>
      <c r="G68" s="17"/>
      <c r="H68" s="30">
        <f>G66+H66</f>
        <v>2031</v>
      </c>
      <c r="I68" s="30">
        <f>G66+H66+I66</f>
        <v>2875</v>
      </c>
      <c r="J68" s="30">
        <f>G66+H66+I66+J66</f>
        <v>3955</v>
      </c>
      <c r="L68" s="64"/>
    </row>
    <row r="69" ht="10.5">
      <c r="L69" s="64"/>
    </row>
    <row r="70" spans="1:256" s="29" customFormat="1" ht="10.5">
      <c r="A70" s="6" t="s">
        <v>95</v>
      </c>
      <c r="B70" s="7" t="s">
        <v>96</v>
      </c>
      <c r="C70" s="99" t="s">
        <v>98</v>
      </c>
      <c r="D70" s="8" t="s">
        <v>36</v>
      </c>
      <c r="E70" s="8">
        <v>8</v>
      </c>
      <c r="F70" s="34">
        <f aca="true" t="shared" si="8" ref="F70:F76">L70*1.23</f>
        <v>5393.55</v>
      </c>
      <c r="G70" s="9"/>
      <c r="H70" s="9">
        <v>61</v>
      </c>
      <c r="I70" s="30">
        <v>155</v>
      </c>
      <c r="J70" s="30">
        <v>262</v>
      </c>
      <c r="K70" s="65">
        <f aca="true" t="shared" si="9" ref="K70:K76">G70+H70+I70+J70</f>
        <v>478</v>
      </c>
      <c r="L70" s="49">
        <v>4385</v>
      </c>
      <c r="M70" s="10"/>
      <c r="N70" s="10"/>
      <c r="O70" s="10"/>
      <c r="P70" s="9"/>
      <c r="Q70" s="76"/>
      <c r="R70" s="76"/>
      <c r="S70" s="76"/>
      <c r="T70" s="76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29" customFormat="1" ht="10.5">
      <c r="A71" s="6" t="s">
        <v>95</v>
      </c>
      <c r="B71" s="7" t="s">
        <v>96</v>
      </c>
      <c r="C71" s="99" t="s">
        <v>97</v>
      </c>
      <c r="D71" s="8" t="s">
        <v>36</v>
      </c>
      <c r="E71" s="8">
        <v>8</v>
      </c>
      <c r="F71" s="34">
        <f t="shared" si="8"/>
        <v>5394.005099999999</v>
      </c>
      <c r="G71" s="9">
        <v>215</v>
      </c>
      <c r="H71" s="9">
        <v>117</v>
      </c>
      <c r="I71" s="30">
        <v>94</v>
      </c>
      <c r="J71" s="30">
        <v>49</v>
      </c>
      <c r="K71" s="65">
        <f t="shared" si="9"/>
        <v>475</v>
      </c>
      <c r="L71" s="49">
        <v>4385.37</v>
      </c>
      <c r="M71" s="10"/>
      <c r="N71" s="10"/>
      <c r="O71" s="10"/>
      <c r="P71" s="9"/>
      <c r="Q71" s="76"/>
      <c r="R71" s="76"/>
      <c r="S71" s="76"/>
      <c r="T71" s="76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29" customFormat="1" ht="10.5">
      <c r="A72" s="6" t="s">
        <v>95</v>
      </c>
      <c r="B72" s="7" t="s">
        <v>96</v>
      </c>
      <c r="C72" s="99" t="s">
        <v>99</v>
      </c>
      <c r="D72" s="8" t="s">
        <v>38</v>
      </c>
      <c r="E72" s="8">
        <v>8</v>
      </c>
      <c r="F72" s="34">
        <f t="shared" si="8"/>
        <v>5949.51</v>
      </c>
      <c r="G72" s="9"/>
      <c r="H72" s="9">
        <v>51</v>
      </c>
      <c r="I72" s="30">
        <v>110</v>
      </c>
      <c r="J72" s="30">
        <v>253</v>
      </c>
      <c r="K72" s="65">
        <f t="shared" si="9"/>
        <v>414</v>
      </c>
      <c r="L72" s="49">
        <v>4837</v>
      </c>
      <c r="M72" s="10"/>
      <c r="N72" s="10"/>
      <c r="O72" s="10"/>
      <c r="P72" s="9"/>
      <c r="Q72" s="76"/>
      <c r="R72" s="76"/>
      <c r="S72" s="76"/>
      <c r="T72" s="76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29" customFormat="1" ht="10.5">
      <c r="A73" s="6" t="s">
        <v>95</v>
      </c>
      <c r="B73" s="7" t="s">
        <v>96</v>
      </c>
      <c r="C73" s="99" t="s">
        <v>100</v>
      </c>
      <c r="D73" s="8" t="s">
        <v>38</v>
      </c>
      <c r="E73" s="8">
        <v>8</v>
      </c>
      <c r="F73" s="34">
        <f t="shared" si="8"/>
        <v>7318.5</v>
      </c>
      <c r="G73" s="9">
        <v>65</v>
      </c>
      <c r="H73" s="9">
        <v>25</v>
      </c>
      <c r="I73" s="30">
        <v>3</v>
      </c>
      <c r="J73" s="30"/>
      <c r="K73" s="65">
        <f t="shared" si="9"/>
        <v>93</v>
      </c>
      <c r="L73" s="49">
        <v>5950</v>
      </c>
      <c r="M73" s="10"/>
      <c r="N73" s="10"/>
      <c r="O73" s="10"/>
      <c r="P73" s="9"/>
      <c r="Q73" s="76"/>
      <c r="R73" s="76"/>
      <c r="S73" s="76"/>
      <c r="T73" s="76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29" customFormat="1" ht="10.5">
      <c r="A74" s="6" t="s">
        <v>95</v>
      </c>
      <c r="B74" s="7" t="s">
        <v>96</v>
      </c>
      <c r="C74" s="99" t="s">
        <v>101</v>
      </c>
      <c r="D74" s="8" t="s">
        <v>36</v>
      </c>
      <c r="E74" s="8">
        <v>8</v>
      </c>
      <c r="F74" s="34">
        <f t="shared" si="8"/>
        <v>5271.005099999999</v>
      </c>
      <c r="G74" s="9">
        <v>55</v>
      </c>
      <c r="H74" s="9">
        <v>21</v>
      </c>
      <c r="I74" s="30">
        <v>14</v>
      </c>
      <c r="J74" s="30"/>
      <c r="K74" s="65">
        <f t="shared" si="9"/>
        <v>90</v>
      </c>
      <c r="L74" s="49">
        <v>4285.37</v>
      </c>
      <c r="M74" s="10"/>
      <c r="N74" s="10"/>
      <c r="O74" s="10"/>
      <c r="P74" s="9"/>
      <c r="Q74" s="76"/>
      <c r="R74" s="76"/>
      <c r="S74" s="76"/>
      <c r="T74" s="76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12" ht="10.5">
      <c r="A75" s="6" t="s">
        <v>95</v>
      </c>
      <c r="B75" s="7" t="s">
        <v>96</v>
      </c>
      <c r="C75" s="165" t="s">
        <v>239</v>
      </c>
      <c r="F75" s="34">
        <f t="shared" si="8"/>
        <v>5902.0074</v>
      </c>
      <c r="H75" s="9"/>
      <c r="J75" s="30">
        <v>88</v>
      </c>
      <c r="K75" s="65">
        <f t="shared" si="9"/>
        <v>88</v>
      </c>
      <c r="L75" s="190">
        <v>4798.38</v>
      </c>
    </row>
    <row r="76" spans="1:12" ht="11.25" thickBot="1">
      <c r="A76" s="6" t="s">
        <v>95</v>
      </c>
      <c r="B76" s="7" t="s">
        <v>96</v>
      </c>
      <c r="C76" s="165" t="s">
        <v>238</v>
      </c>
      <c r="F76" s="34">
        <f t="shared" si="8"/>
        <v>5902.0074</v>
      </c>
      <c r="H76" s="9"/>
      <c r="J76" s="30">
        <v>34</v>
      </c>
      <c r="K76" s="65">
        <f t="shared" si="9"/>
        <v>34</v>
      </c>
      <c r="L76" s="190">
        <v>4798.38</v>
      </c>
    </row>
    <row r="77" spans="1:14" ht="10.5">
      <c r="A77" s="12" t="s">
        <v>95</v>
      </c>
      <c r="B77" s="13"/>
      <c r="C77" s="13" t="s">
        <v>102</v>
      </c>
      <c r="D77" s="14"/>
      <c r="E77" s="14"/>
      <c r="F77" s="35"/>
      <c r="G77" s="15">
        <f>SUM(G70:G76)</f>
        <v>335</v>
      </c>
      <c r="H77" s="15">
        <f>SUM(H70:H76)</f>
        <v>275</v>
      </c>
      <c r="I77" s="15">
        <f>SUM(I70:I76)</f>
        <v>376</v>
      </c>
      <c r="J77" s="15">
        <f>SUM(J70:J76)</f>
        <v>686</v>
      </c>
      <c r="K77" s="67">
        <f>SUM(K70:K76)</f>
        <v>1672</v>
      </c>
      <c r="L77" s="96"/>
      <c r="M77" s="16"/>
      <c r="N77" s="16"/>
    </row>
    <row r="78" spans="1:14" ht="10.5">
      <c r="A78" s="26" t="s">
        <v>95</v>
      </c>
      <c r="B78" s="27"/>
      <c r="C78" s="27" t="s">
        <v>46</v>
      </c>
      <c r="D78" s="28"/>
      <c r="E78" s="28"/>
      <c r="F78" s="36"/>
      <c r="G78" s="72">
        <f>G77/G176</f>
        <v>0.025999223903764065</v>
      </c>
      <c r="H78" s="74">
        <f>H77/H176</f>
        <v>0.02244165170556553</v>
      </c>
      <c r="I78" s="74">
        <f>I77/I176</f>
        <v>0.03294777427269541</v>
      </c>
      <c r="J78" s="74">
        <f>J77/J176</f>
        <v>0.05069464971918416</v>
      </c>
      <c r="K78" s="73">
        <f>K77/K176</f>
        <v>0.03338458159455304</v>
      </c>
      <c r="L78" s="64"/>
      <c r="M78" s="72"/>
      <c r="N78" s="72"/>
    </row>
    <row r="79" spans="1:13" ht="10.5">
      <c r="A79" s="6" t="s">
        <v>95</v>
      </c>
      <c r="C79" s="7" t="s">
        <v>47</v>
      </c>
      <c r="H79" s="30">
        <f>G77+H77</f>
        <v>610</v>
      </c>
      <c r="I79" s="30">
        <f>G77+H77+I77</f>
        <v>986</v>
      </c>
      <c r="J79" s="30">
        <f>G77+H77+I77+J77</f>
        <v>1672</v>
      </c>
      <c r="L79" s="64"/>
      <c r="M79" s="20"/>
    </row>
    <row r="80" ht="10.5">
      <c r="L80" s="64"/>
    </row>
    <row r="81" spans="1:256" ht="10.5">
      <c r="A81" s="6" t="s">
        <v>103</v>
      </c>
      <c r="B81" s="7" t="s">
        <v>104</v>
      </c>
      <c r="C81" s="99" t="s">
        <v>105</v>
      </c>
      <c r="D81" s="8" t="s">
        <v>40</v>
      </c>
      <c r="E81" s="8">
        <v>8</v>
      </c>
      <c r="F81" s="34">
        <f>L81*1.23</f>
        <v>5389.9953</v>
      </c>
      <c r="G81" s="30">
        <v>1461</v>
      </c>
      <c r="H81" s="30">
        <v>1530</v>
      </c>
      <c r="I81" s="30">
        <v>1159</v>
      </c>
      <c r="J81" s="30">
        <v>1159</v>
      </c>
      <c r="K81" s="65">
        <f>G81+H81+I81+J81</f>
        <v>5309</v>
      </c>
      <c r="L81" s="49">
        <v>4382.11</v>
      </c>
      <c r="S81" s="79"/>
      <c r="T81" s="7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ht="10.5">
      <c r="A82" s="6" t="s">
        <v>103</v>
      </c>
      <c r="B82" s="7" t="s">
        <v>104</v>
      </c>
      <c r="C82" s="99" t="s">
        <v>106</v>
      </c>
      <c r="D82" s="8" t="s">
        <v>36</v>
      </c>
      <c r="E82" s="8">
        <v>8</v>
      </c>
      <c r="F82" s="34">
        <f>L82*1.23</f>
        <v>5389.9953</v>
      </c>
      <c r="G82" s="30">
        <v>1044</v>
      </c>
      <c r="H82" s="30">
        <v>842</v>
      </c>
      <c r="I82" s="30">
        <v>795</v>
      </c>
      <c r="J82" s="30">
        <v>804</v>
      </c>
      <c r="K82" s="65">
        <f>G82+H82+I82+J82</f>
        <v>3485</v>
      </c>
      <c r="L82" s="49">
        <v>4382.11</v>
      </c>
      <c r="S82" s="79"/>
      <c r="T82" s="7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12" ht="10.5">
      <c r="A83" s="6" t="s">
        <v>103</v>
      </c>
      <c r="B83" s="7" t="s">
        <v>104</v>
      </c>
      <c r="C83" s="99" t="s">
        <v>107</v>
      </c>
      <c r="D83" s="8" t="s">
        <v>36</v>
      </c>
      <c r="E83" s="31">
        <v>8</v>
      </c>
      <c r="F83" s="34">
        <f>L83*1.23</f>
        <v>6100.0005</v>
      </c>
      <c r="G83" s="30">
        <v>491</v>
      </c>
      <c r="H83" s="30">
        <v>364</v>
      </c>
      <c r="I83" s="30">
        <v>291</v>
      </c>
      <c r="J83" s="30">
        <v>235</v>
      </c>
      <c r="K83" s="65">
        <f>G83+H83+I83+J83</f>
        <v>1381</v>
      </c>
      <c r="L83" s="49">
        <v>4959.35</v>
      </c>
    </row>
    <row r="84" spans="1:12" ht="10.5">
      <c r="A84" s="6" t="s">
        <v>103</v>
      </c>
      <c r="B84" s="7" t="s">
        <v>104</v>
      </c>
      <c r="C84" s="99" t="s">
        <v>109</v>
      </c>
      <c r="D84" s="8" t="s">
        <v>40</v>
      </c>
      <c r="E84" s="31">
        <v>8</v>
      </c>
      <c r="F84" s="34">
        <f>L84*1.23</f>
        <v>6599.9955</v>
      </c>
      <c r="G84" s="30">
        <v>436</v>
      </c>
      <c r="H84" s="30">
        <v>345</v>
      </c>
      <c r="I84" s="30">
        <v>235</v>
      </c>
      <c r="J84" s="30">
        <v>209</v>
      </c>
      <c r="K84" s="65">
        <f>G84+H84+I84+J84</f>
        <v>1225</v>
      </c>
      <c r="L84" s="49">
        <v>5365.85</v>
      </c>
    </row>
    <row r="85" spans="1:12" ht="10.5">
      <c r="A85" s="6" t="s">
        <v>103</v>
      </c>
      <c r="B85" s="7" t="s">
        <v>104</v>
      </c>
      <c r="C85" s="99" t="s">
        <v>108</v>
      </c>
      <c r="D85" s="8" t="s">
        <v>36</v>
      </c>
      <c r="E85" s="31">
        <v>8</v>
      </c>
      <c r="F85" s="34">
        <f>L85*1.23</f>
        <v>6239.9991</v>
      </c>
      <c r="G85" s="30">
        <v>405</v>
      </c>
      <c r="H85" s="30">
        <v>266</v>
      </c>
      <c r="I85" s="30">
        <v>242</v>
      </c>
      <c r="J85" s="30">
        <v>199</v>
      </c>
      <c r="K85" s="65">
        <f>G85+H85+I85+J85</f>
        <v>1112</v>
      </c>
      <c r="L85" s="49">
        <v>5073.17</v>
      </c>
    </row>
    <row r="86" spans="1:256" s="29" customFormat="1" ht="10.5">
      <c r="A86" s="6" t="s">
        <v>103</v>
      </c>
      <c r="B86" s="7" t="s">
        <v>104</v>
      </c>
      <c r="C86" s="99" t="s">
        <v>110</v>
      </c>
      <c r="D86" s="8" t="s">
        <v>36</v>
      </c>
      <c r="E86" s="8">
        <v>8</v>
      </c>
      <c r="F86" s="34">
        <f aca="true" t="shared" si="10" ref="F86:F93">L86*1.23</f>
        <v>6199.9995</v>
      </c>
      <c r="G86" s="30">
        <v>166</v>
      </c>
      <c r="H86" s="30">
        <v>107</v>
      </c>
      <c r="I86" s="30">
        <v>101</v>
      </c>
      <c r="J86" s="30">
        <v>91</v>
      </c>
      <c r="K86" s="65">
        <f aca="true" t="shared" si="11" ref="K86:K93">G86+H86+I86+J86</f>
        <v>465</v>
      </c>
      <c r="L86" s="49">
        <v>5040.65</v>
      </c>
      <c r="M86" s="10"/>
      <c r="N86" s="10"/>
      <c r="O86" s="9"/>
      <c r="P86" s="9"/>
      <c r="Q86" s="76"/>
      <c r="R86" s="76"/>
      <c r="S86" s="76"/>
      <c r="T86" s="76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12" ht="10.5">
      <c r="A87" s="6" t="s">
        <v>103</v>
      </c>
      <c r="B87" s="7" t="s">
        <v>104</v>
      </c>
      <c r="C87" s="99" t="s">
        <v>114</v>
      </c>
      <c r="D87" s="8" t="s">
        <v>36</v>
      </c>
      <c r="E87" s="31">
        <v>8</v>
      </c>
      <c r="F87" s="34">
        <f t="shared" si="10"/>
        <v>6239.9991</v>
      </c>
      <c r="G87" s="30">
        <v>104</v>
      </c>
      <c r="H87" s="30">
        <v>66</v>
      </c>
      <c r="I87" s="30">
        <v>33</v>
      </c>
      <c r="J87" s="30">
        <v>40</v>
      </c>
      <c r="K87" s="65">
        <f t="shared" si="11"/>
        <v>243</v>
      </c>
      <c r="L87" s="49">
        <v>5073.17</v>
      </c>
    </row>
    <row r="88" spans="1:12" ht="10.5">
      <c r="A88" s="6" t="s">
        <v>103</v>
      </c>
      <c r="B88" s="7" t="s">
        <v>104</v>
      </c>
      <c r="C88" s="99" t="s">
        <v>113</v>
      </c>
      <c r="D88" s="8" t="s">
        <v>36</v>
      </c>
      <c r="E88" s="31">
        <v>8</v>
      </c>
      <c r="F88" s="34">
        <f t="shared" si="10"/>
        <v>6100.0005</v>
      </c>
      <c r="G88" s="30">
        <v>101</v>
      </c>
      <c r="H88" s="30">
        <v>63</v>
      </c>
      <c r="I88" s="30">
        <v>35</v>
      </c>
      <c r="J88" s="30">
        <v>25</v>
      </c>
      <c r="K88" s="65">
        <f t="shared" si="11"/>
        <v>224</v>
      </c>
      <c r="L88" s="49">
        <v>4959.35</v>
      </c>
    </row>
    <row r="89" spans="1:12" ht="10.5">
      <c r="A89" s="6" t="s">
        <v>103</v>
      </c>
      <c r="B89" s="7" t="s">
        <v>104</v>
      </c>
      <c r="C89" s="99" t="s">
        <v>112</v>
      </c>
      <c r="D89" s="8" t="s">
        <v>40</v>
      </c>
      <c r="E89" s="31">
        <v>8</v>
      </c>
      <c r="F89" s="34">
        <f t="shared" si="10"/>
        <v>7799.9958</v>
      </c>
      <c r="G89" s="30">
        <v>81</v>
      </c>
      <c r="H89" s="30">
        <v>57</v>
      </c>
      <c r="I89" s="30">
        <v>56</v>
      </c>
      <c r="J89" s="30">
        <v>19</v>
      </c>
      <c r="K89" s="65">
        <f t="shared" si="11"/>
        <v>213</v>
      </c>
      <c r="L89" s="49">
        <v>6341.46</v>
      </c>
    </row>
    <row r="90" spans="1:12" ht="10.5">
      <c r="A90" s="6" t="s">
        <v>103</v>
      </c>
      <c r="B90" s="7" t="s">
        <v>104</v>
      </c>
      <c r="C90" s="144" t="s">
        <v>111</v>
      </c>
      <c r="D90" s="8" t="s">
        <v>36</v>
      </c>
      <c r="E90" s="31">
        <v>8</v>
      </c>
      <c r="F90" s="34">
        <f t="shared" si="10"/>
        <v>4674</v>
      </c>
      <c r="G90" s="30">
        <v>5</v>
      </c>
      <c r="H90" s="30">
        <v>59</v>
      </c>
      <c r="I90" s="30">
        <v>60</v>
      </c>
      <c r="J90" s="30">
        <v>86</v>
      </c>
      <c r="K90" s="65">
        <f t="shared" si="11"/>
        <v>210</v>
      </c>
      <c r="L90" s="49">
        <v>3800</v>
      </c>
    </row>
    <row r="91" spans="1:12" ht="10.5">
      <c r="A91" s="6" t="s">
        <v>103</v>
      </c>
      <c r="B91" s="7" t="s">
        <v>104</v>
      </c>
      <c r="C91" s="99" t="s">
        <v>116</v>
      </c>
      <c r="D91" s="8" t="s">
        <v>36</v>
      </c>
      <c r="E91" s="40" t="s">
        <v>93</v>
      </c>
      <c r="F91" s="34">
        <f t="shared" si="10"/>
        <v>3282.87</v>
      </c>
      <c r="G91" s="30">
        <v>35</v>
      </c>
      <c r="H91" s="30">
        <v>21</v>
      </c>
      <c r="I91" s="30">
        <v>13</v>
      </c>
      <c r="J91" s="30">
        <v>11</v>
      </c>
      <c r="K91" s="65">
        <f t="shared" si="11"/>
        <v>80</v>
      </c>
      <c r="L91" s="49">
        <v>2669</v>
      </c>
    </row>
    <row r="92" spans="1:12" ht="10.5">
      <c r="A92" s="6" t="s">
        <v>103</v>
      </c>
      <c r="B92" s="7" t="s">
        <v>104</v>
      </c>
      <c r="C92" s="99" t="s">
        <v>115</v>
      </c>
      <c r="D92" s="8" t="s">
        <v>36</v>
      </c>
      <c r="E92" s="31" t="s">
        <v>93</v>
      </c>
      <c r="F92" s="34">
        <f t="shared" si="10"/>
        <v>3397.2599999999998</v>
      </c>
      <c r="G92" s="30">
        <v>17</v>
      </c>
      <c r="H92" s="30">
        <v>5</v>
      </c>
      <c r="I92" s="30">
        <v>19</v>
      </c>
      <c r="J92" s="176">
        <v>6</v>
      </c>
      <c r="K92" s="65">
        <f t="shared" si="11"/>
        <v>47</v>
      </c>
      <c r="L92" s="49">
        <v>2762</v>
      </c>
    </row>
    <row r="93" spans="1:12" ht="11.25" thickBot="1">
      <c r="A93" s="6" t="s">
        <v>103</v>
      </c>
      <c r="B93" s="7" t="s">
        <v>104</v>
      </c>
      <c r="C93" s="99" t="s">
        <v>117</v>
      </c>
      <c r="D93" s="8" t="s">
        <v>36</v>
      </c>
      <c r="E93" s="31" t="s">
        <v>42</v>
      </c>
      <c r="F93" s="34">
        <f t="shared" si="10"/>
        <v>3894.18</v>
      </c>
      <c r="G93" s="30">
        <v>0</v>
      </c>
      <c r="H93" s="30">
        <v>0</v>
      </c>
      <c r="I93" s="30">
        <v>2</v>
      </c>
      <c r="J93" s="176">
        <v>4</v>
      </c>
      <c r="K93" s="65">
        <f t="shared" si="11"/>
        <v>6</v>
      </c>
      <c r="L93" s="49">
        <v>3166</v>
      </c>
    </row>
    <row r="94" spans="1:20" s="29" customFormat="1" ht="10.5">
      <c r="A94" s="12" t="s">
        <v>103</v>
      </c>
      <c r="B94" s="13"/>
      <c r="C94" s="13" t="s">
        <v>118</v>
      </c>
      <c r="D94" s="14"/>
      <c r="E94" s="14"/>
      <c r="F94" s="35"/>
      <c r="G94" s="15">
        <f>SUM(G81:G93)</f>
        <v>4346</v>
      </c>
      <c r="H94" s="42">
        <f>SUM(H81:H93)</f>
        <v>3725</v>
      </c>
      <c r="I94" s="42">
        <f>SUM(I81:I93)</f>
        <v>3041</v>
      </c>
      <c r="J94" s="42">
        <f>SUM(J81:J93)</f>
        <v>2888</v>
      </c>
      <c r="K94" s="67">
        <f>SUM(K81:K93)</f>
        <v>14000</v>
      </c>
      <c r="L94" s="96"/>
      <c r="M94" s="16"/>
      <c r="N94" s="16"/>
      <c r="O94" s="9"/>
      <c r="P94" s="9"/>
      <c r="Q94" s="76"/>
      <c r="R94" s="76"/>
      <c r="S94" s="79"/>
      <c r="T94" s="79"/>
    </row>
    <row r="95" spans="1:14" ht="10.5">
      <c r="A95" s="26" t="s">
        <v>103</v>
      </c>
      <c r="B95" s="27"/>
      <c r="C95" s="27" t="s">
        <v>46</v>
      </c>
      <c r="D95" s="28"/>
      <c r="E95" s="28"/>
      <c r="F95" s="36"/>
      <c r="G95" s="72">
        <f>G94/G176</f>
        <v>0.3372914241365929</v>
      </c>
      <c r="H95" s="74">
        <f>H94/H176</f>
        <v>0.30398237310266035</v>
      </c>
      <c r="I95" s="74">
        <f>I94/I176</f>
        <v>0.26647388713634773</v>
      </c>
      <c r="J95" s="74">
        <f>J94/J176</f>
        <v>0.21342004138338752</v>
      </c>
      <c r="K95" s="73">
        <f>K94/K176</f>
        <v>0.2795359702893197</v>
      </c>
      <c r="L95" s="64"/>
      <c r="M95" s="72"/>
      <c r="N95" s="72"/>
    </row>
    <row r="96" spans="1:12" ht="10.5">
      <c r="A96" s="6" t="s">
        <v>103</v>
      </c>
      <c r="C96" s="7" t="s">
        <v>47</v>
      </c>
      <c r="H96" s="30">
        <f>G94+H94</f>
        <v>8071</v>
      </c>
      <c r="I96" s="30">
        <f>G94+H94+I94</f>
        <v>11112</v>
      </c>
      <c r="J96" s="30">
        <f>G94+H94+I94+J94</f>
        <v>14000</v>
      </c>
      <c r="L96" s="64"/>
    </row>
    <row r="97" ht="10.5">
      <c r="L97" s="64"/>
    </row>
    <row r="98" spans="1:12" ht="10.5">
      <c r="A98" s="6" t="s">
        <v>119</v>
      </c>
      <c r="B98" s="7" t="s">
        <v>119</v>
      </c>
      <c r="C98" s="99" t="s">
        <v>120</v>
      </c>
      <c r="D98" s="8" t="s">
        <v>36</v>
      </c>
      <c r="E98" s="31">
        <v>8</v>
      </c>
      <c r="F98" s="34">
        <f>L98*1.23</f>
        <v>5900.0025</v>
      </c>
      <c r="G98" s="9">
        <v>992</v>
      </c>
      <c r="H98" s="30">
        <v>936</v>
      </c>
      <c r="I98" s="30">
        <v>912</v>
      </c>
      <c r="J98" s="30">
        <v>941</v>
      </c>
      <c r="K98" s="65">
        <f>G98+H98+I98+J98</f>
        <v>3781</v>
      </c>
      <c r="L98" s="49">
        <v>4796.75</v>
      </c>
    </row>
    <row r="99" spans="1:12" ht="10.5">
      <c r="A99" s="6" t="s">
        <v>119</v>
      </c>
      <c r="B99" s="7" t="s">
        <v>119</v>
      </c>
      <c r="C99" s="99" t="s">
        <v>121</v>
      </c>
      <c r="D99" s="8" t="s">
        <v>38</v>
      </c>
      <c r="E99" s="31">
        <v>8</v>
      </c>
      <c r="F99" s="34">
        <f aca="true" t="shared" si="12" ref="F99:F109">L99*1.23</f>
        <v>6299.9985</v>
      </c>
      <c r="G99" s="9">
        <v>837</v>
      </c>
      <c r="H99" s="30">
        <v>1028</v>
      </c>
      <c r="I99" s="30">
        <v>705</v>
      </c>
      <c r="J99" s="30">
        <v>967</v>
      </c>
      <c r="K99" s="65">
        <f aca="true" t="shared" si="13" ref="K99:K109">G99+H99+I99+J99</f>
        <v>3537</v>
      </c>
      <c r="L99" s="49">
        <v>5121.95</v>
      </c>
    </row>
    <row r="100" spans="1:12" ht="10.5">
      <c r="A100" s="6" t="s">
        <v>119</v>
      </c>
      <c r="B100" s="7" t="s">
        <v>119</v>
      </c>
      <c r="C100" s="165" t="s">
        <v>122</v>
      </c>
      <c r="D100" s="8" t="s">
        <v>36</v>
      </c>
      <c r="E100" s="31">
        <v>8</v>
      </c>
      <c r="F100" s="34">
        <v>6200</v>
      </c>
      <c r="G100" s="9">
        <v>242</v>
      </c>
      <c r="H100" s="30">
        <v>413</v>
      </c>
      <c r="I100" s="30">
        <v>514</v>
      </c>
      <c r="J100" s="30">
        <v>578</v>
      </c>
      <c r="K100" s="65">
        <f t="shared" si="13"/>
        <v>1747</v>
      </c>
      <c r="L100" s="49">
        <v>5041</v>
      </c>
    </row>
    <row r="101" spans="1:12" ht="10.5">
      <c r="A101" s="6" t="s">
        <v>119</v>
      </c>
      <c r="B101" s="7" t="s">
        <v>119</v>
      </c>
      <c r="C101" s="99" t="s">
        <v>123</v>
      </c>
      <c r="D101" s="8" t="s">
        <v>36</v>
      </c>
      <c r="E101" s="31" t="s">
        <v>124</v>
      </c>
      <c r="F101" s="34">
        <f t="shared" si="12"/>
        <v>5109.9981</v>
      </c>
      <c r="G101" s="9">
        <v>92</v>
      </c>
      <c r="H101" s="30">
        <v>130</v>
      </c>
      <c r="I101" s="30">
        <v>120</v>
      </c>
      <c r="J101" s="30">
        <v>124</v>
      </c>
      <c r="K101" s="65">
        <f t="shared" si="13"/>
        <v>466</v>
      </c>
      <c r="L101" s="49">
        <v>4154.47</v>
      </c>
    </row>
    <row r="102" spans="1:12" ht="10.5">
      <c r="A102" s="6" t="s">
        <v>119</v>
      </c>
      <c r="B102" s="7" t="s">
        <v>119</v>
      </c>
      <c r="C102" s="99" t="s">
        <v>127</v>
      </c>
      <c r="D102" s="8" t="s">
        <v>38</v>
      </c>
      <c r="E102" s="31">
        <v>8</v>
      </c>
      <c r="F102" s="34">
        <f t="shared" si="12"/>
        <v>5385.0015</v>
      </c>
      <c r="G102" s="9">
        <v>56</v>
      </c>
      <c r="H102" s="30">
        <v>58</v>
      </c>
      <c r="I102" s="30">
        <v>21</v>
      </c>
      <c r="J102" s="30">
        <v>118</v>
      </c>
      <c r="K102" s="65">
        <f t="shared" si="13"/>
        <v>253</v>
      </c>
      <c r="L102" s="49">
        <v>4378.05</v>
      </c>
    </row>
    <row r="103" spans="1:12" ht="10.5">
      <c r="A103" s="6" t="s">
        <v>119</v>
      </c>
      <c r="B103" s="7" t="s">
        <v>119</v>
      </c>
      <c r="C103" s="99" t="s">
        <v>126</v>
      </c>
      <c r="D103" s="8" t="s">
        <v>36</v>
      </c>
      <c r="E103" s="8">
        <v>6</v>
      </c>
      <c r="F103" s="34">
        <f t="shared" si="12"/>
        <v>3399.72</v>
      </c>
      <c r="G103" s="9">
        <v>51</v>
      </c>
      <c r="H103" s="30">
        <v>23</v>
      </c>
      <c r="I103" s="30">
        <v>36</v>
      </c>
      <c r="J103" s="30">
        <v>44</v>
      </c>
      <c r="K103" s="65">
        <f t="shared" si="13"/>
        <v>154</v>
      </c>
      <c r="L103" s="49">
        <v>2764</v>
      </c>
    </row>
    <row r="104" spans="1:16" ht="10.5">
      <c r="A104" s="6" t="s">
        <v>119</v>
      </c>
      <c r="B104" s="7" t="s">
        <v>119</v>
      </c>
      <c r="C104" s="99" t="s">
        <v>125</v>
      </c>
      <c r="D104" s="8" t="s">
        <v>36</v>
      </c>
      <c r="E104" s="8">
        <v>5</v>
      </c>
      <c r="F104" s="34">
        <f t="shared" si="12"/>
        <v>3399.72</v>
      </c>
      <c r="G104" s="9">
        <v>57</v>
      </c>
      <c r="H104" s="30">
        <v>28</v>
      </c>
      <c r="I104" s="30">
        <v>38</v>
      </c>
      <c r="J104" s="30">
        <v>19</v>
      </c>
      <c r="K104" s="65">
        <f t="shared" si="13"/>
        <v>142</v>
      </c>
      <c r="L104" s="49">
        <v>2764</v>
      </c>
      <c r="P104" s="29"/>
    </row>
    <row r="105" spans="1:12" ht="10.5">
      <c r="A105" s="6" t="s">
        <v>119</v>
      </c>
      <c r="B105" s="7" t="s">
        <v>119</v>
      </c>
      <c r="C105" s="99" t="s">
        <v>234</v>
      </c>
      <c r="D105" s="8" t="s">
        <v>36</v>
      </c>
      <c r="E105" s="31">
        <v>8</v>
      </c>
      <c r="F105" s="34">
        <f t="shared" si="12"/>
        <v>6199.9995</v>
      </c>
      <c r="J105" s="30">
        <v>120</v>
      </c>
      <c r="K105" s="65">
        <f t="shared" si="13"/>
        <v>120</v>
      </c>
      <c r="L105" s="190">
        <v>5040.65</v>
      </c>
    </row>
    <row r="106" spans="1:12" ht="10.5">
      <c r="A106" s="6" t="s">
        <v>119</v>
      </c>
      <c r="B106" s="7" t="s">
        <v>119</v>
      </c>
      <c r="C106" s="144" t="s">
        <v>128</v>
      </c>
      <c r="D106" s="8" t="s">
        <v>38</v>
      </c>
      <c r="E106" s="8">
        <v>5</v>
      </c>
      <c r="F106" s="34">
        <f t="shared" si="12"/>
        <v>3699.84</v>
      </c>
      <c r="G106" s="9">
        <v>10</v>
      </c>
      <c r="H106" s="30">
        <v>15</v>
      </c>
      <c r="I106" s="30">
        <v>20</v>
      </c>
      <c r="J106" s="30">
        <v>13</v>
      </c>
      <c r="K106" s="65">
        <f t="shared" si="13"/>
        <v>58</v>
      </c>
      <c r="L106" s="64">
        <v>3008</v>
      </c>
    </row>
    <row r="107" spans="1:15" ht="10.5">
      <c r="A107" s="6" t="s">
        <v>119</v>
      </c>
      <c r="B107" s="7" t="s">
        <v>119</v>
      </c>
      <c r="C107" s="144" t="s">
        <v>131</v>
      </c>
      <c r="D107" s="8" t="s">
        <v>36</v>
      </c>
      <c r="E107" s="8">
        <v>4</v>
      </c>
      <c r="F107" s="34">
        <f t="shared" si="12"/>
        <v>3247.2</v>
      </c>
      <c r="G107" s="9">
        <v>15</v>
      </c>
      <c r="H107" s="30">
        <v>5</v>
      </c>
      <c r="I107" s="30">
        <v>7</v>
      </c>
      <c r="J107" s="30">
        <v>12</v>
      </c>
      <c r="K107" s="65">
        <f t="shared" si="13"/>
        <v>39</v>
      </c>
      <c r="L107" s="49">
        <v>2640</v>
      </c>
      <c r="O107" s="29"/>
    </row>
    <row r="108" spans="1:12" ht="10.5">
      <c r="A108" s="6" t="s">
        <v>119</v>
      </c>
      <c r="B108" s="7" t="s">
        <v>119</v>
      </c>
      <c r="C108" s="99" t="s">
        <v>129</v>
      </c>
      <c r="D108" s="8" t="s">
        <v>130</v>
      </c>
      <c r="E108" s="8">
        <v>1</v>
      </c>
      <c r="F108" s="34">
        <f t="shared" si="12"/>
        <v>2706</v>
      </c>
      <c r="G108" s="9">
        <v>6</v>
      </c>
      <c r="H108" s="30">
        <v>6</v>
      </c>
      <c r="I108" s="30">
        <v>9</v>
      </c>
      <c r="J108" s="30">
        <v>7</v>
      </c>
      <c r="K108" s="65">
        <f t="shared" si="13"/>
        <v>28</v>
      </c>
      <c r="L108" s="49">
        <v>2200</v>
      </c>
    </row>
    <row r="109" spans="1:15" ht="11.25" thickBot="1">
      <c r="A109" s="6" t="s">
        <v>119</v>
      </c>
      <c r="B109" s="7" t="s">
        <v>119</v>
      </c>
      <c r="C109" s="99" t="s">
        <v>132</v>
      </c>
      <c r="D109" s="8" t="s">
        <v>36</v>
      </c>
      <c r="E109" s="8">
        <v>6</v>
      </c>
      <c r="F109" s="34">
        <f t="shared" si="12"/>
        <v>3399.72</v>
      </c>
      <c r="G109" s="9">
        <v>9</v>
      </c>
      <c r="H109" s="30">
        <v>6</v>
      </c>
      <c r="I109" s="30">
        <v>5</v>
      </c>
      <c r="J109" s="30">
        <v>1</v>
      </c>
      <c r="K109" s="65">
        <f t="shared" si="13"/>
        <v>21</v>
      </c>
      <c r="L109" s="49">
        <v>2764</v>
      </c>
      <c r="O109" s="29"/>
    </row>
    <row r="110" spans="1:14" ht="10.5">
      <c r="A110" s="12" t="s">
        <v>119</v>
      </c>
      <c r="B110" s="13"/>
      <c r="C110" s="13" t="s">
        <v>133</v>
      </c>
      <c r="D110" s="14"/>
      <c r="E110" s="14"/>
      <c r="F110" s="35"/>
      <c r="G110" s="15">
        <f>SUM(G98:G109)</f>
        <v>2367</v>
      </c>
      <c r="H110" s="15">
        <f>SUM(H98:H109)</f>
        <v>2648</v>
      </c>
      <c r="I110" s="15">
        <f>SUM(I98:I109)</f>
        <v>2387</v>
      </c>
      <c r="J110" s="15">
        <f>SUM(J98:J109)</f>
        <v>2944</v>
      </c>
      <c r="K110" s="67">
        <f>SUM(K98:K109)</f>
        <v>10346</v>
      </c>
      <c r="L110" s="96"/>
      <c r="M110" s="16"/>
      <c r="N110" s="16"/>
    </row>
    <row r="111" spans="1:14" ht="10.5">
      <c r="A111" s="26" t="s">
        <v>119</v>
      </c>
      <c r="B111" s="27"/>
      <c r="C111" s="27" t="s">
        <v>46</v>
      </c>
      <c r="D111" s="28"/>
      <c r="E111" s="28"/>
      <c r="F111" s="36"/>
      <c r="G111" s="72">
        <f>G110/G176</f>
        <v>0.18370197904540164</v>
      </c>
      <c r="H111" s="74">
        <f>H110/H176</f>
        <v>0.21609270442304554</v>
      </c>
      <c r="I111" s="74">
        <f>I110/I176</f>
        <v>0.2091657903960743</v>
      </c>
      <c r="J111" s="74">
        <f>J110/J176</f>
        <v>0.21755838013597398</v>
      </c>
      <c r="K111" s="73">
        <f>K110/K176</f>
        <v>0.2065770820438073</v>
      </c>
      <c r="L111" s="64"/>
      <c r="M111" s="72"/>
      <c r="N111" s="72"/>
    </row>
    <row r="112" spans="1:12" ht="10.5">
      <c r="A112" s="6" t="s">
        <v>119</v>
      </c>
      <c r="C112" s="7" t="s">
        <v>47</v>
      </c>
      <c r="H112" s="30">
        <f>G110+H110</f>
        <v>5015</v>
      </c>
      <c r="I112" s="30">
        <f>G110+H110+I110</f>
        <v>7402</v>
      </c>
      <c r="J112" s="30">
        <f>G110+H110+I110+J110</f>
        <v>10346</v>
      </c>
      <c r="L112" s="64"/>
    </row>
    <row r="113" spans="7:12" ht="10.5">
      <c r="G113" s="17"/>
      <c r="L113" s="64"/>
    </row>
    <row r="114" spans="1:16" ht="10.5">
      <c r="A114" s="7" t="s">
        <v>134</v>
      </c>
      <c r="B114" s="7" t="s">
        <v>135</v>
      </c>
      <c r="C114" s="144" t="s">
        <v>136</v>
      </c>
      <c r="D114" s="8" t="s">
        <v>38</v>
      </c>
      <c r="E114" s="8">
        <v>4</v>
      </c>
      <c r="F114" s="34">
        <f aca="true" t="shared" si="14" ref="F114:F119">L114*1.23</f>
        <v>3382.5</v>
      </c>
      <c r="G114" s="9">
        <v>6</v>
      </c>
      <c r="I114" s="30">
        <v>1</v>
      </c>
      <c r="J114" s="30">
        <v>5</v>
      </c>
      <c r="K114" s="65">
        <f aca="true" t="shared" si="15" ref="K114:K119">G114+H114+I114+J114</f>
        <v>12</v>
      </c>
      <c r="L114" s="64">
        <v>2750</v>
      </c>
      <c r="P114" s="30"/>
    </row>
    <row r="115" spans="1:16" ht="10.5">
      <c r="A115" s="7" t="s">
        <v>134</v>
      </c>
      <c r="B115" s="7" t="s">
        <v>137</v>
      </c>
      <c r="C115" s="144" t="s">
        <v>138</v>
      </c>
      <c r="D115" s="8" t="s">
        <v>38</v>
      </c>
      <c r="E115" s="8">
        <v>7</v>
      </c>
      <c r="F115" s="34">
        <f t="shared" si="14"/>
        <v>8087.25</v>
      </c>
      <c r="G115" s="9">
        <v>28</v>
      </c>
      <c r="H115" s="30">
        <v>14</v>
      </c>
      <c r="I115" s="30">
        <v>16</v>
      </c>
      <c r="J115" s="30">
        <v>15</v>
      </c>
      <c r="K115" s="65">
        <f t="shared" si="15"/>
        <v>73</v>
      </c>
      <c r="L115" s="49">
        <v>6575</v>
      </c>
      <c r="P115" s="30"/>
    </row>
    <row r="116" spans="1:16" ht="10.5">
      <c r="A116" s="56" t="s">
        <v>134</v>
      </c>
      <c r="B116" s="57" t="s">
        <v>139</v>
      </c>
      <c r="C116" s="149" t="s">
        <v>140</v>
      </c>
      <c r="D116" s="58" t="s">
        <v>66</v>
      </c>
      <c r="E116" s="58">
        <v>7</v>
      </c>
      <c r="F116" s="59">
        <f t="shared" si="14"/>
        <v>11967.9</v>
      </c>
      <c r="G116" s="60">
        <v>10</v>
      </c>
      <c r="H116" s="61">
        <v>1</v>
      </c>
      <c r="I116" s="61">
        <v>11</v>
      </c>
      <c r="J116" s="61">
        <v>5</v>
      </c>
      <c r="K116" s="66">
        <f t="shared" si="15"/>
        <v>27</v>
      </c>
      <c r="L116" s="150">
        <v>9730</v>
      </c>
      <c r="M116" s="62"/>
      <c r="N116" s="62"/>
      <c r="P116" s="30"/>
    </row>
    <row r="117" spans="1:16" ht="10.5">
      <c r="A117" s="7" t="s">
        <v>134</v>
      </c>
      <c r="B117" s="7" t="s">
        <v>134</v>
      </c>
      <c r="C117" s="165" t="s">
        <v>142</v>
      </c>
      <c r="D117" s="8" t="s">
        <v>36</v>
      </c>
      <c r="E117" s="8">
        <v>8</v>
      </c>
      <c r="F117" s="34">
        <f t="shared" si="14"/>
        <v>6099.57</v>
      </c>
      <c r="G117" s="9">
        <v>13</v>
      </c>
      <c r="H117" s="30">
        <v>134</v>
      </c>
      <c r="I117" s="30">
        <v>204</v>
      </c>
      <c r="J117" s="30">
        <v>391</v>
      </c>
      <c r="K117" s="65">
        <f t="shared" si="15"/>
        <v>742</v>
      </c>
      <c r="L117" s="10">
        <v>4959</v>
      </c>
      <c r="P117" s="30"/>
    </row>
    <row r="118" spans="1:16" ht="10.5">
      <c r="A118" s="7" t="s">
        <v>134</v>
      </c>
      <c r="B118" s="7" t="s">
        <v>134</v>
      </c>
      <c r="C118" s="165" t="s">
        <v>143</v>
      </c>
      <c r="D118" s="8" t="s">
        <v>38</v>
      </c>
      <c r="E118" s="8">
        <v>8</v>
      </c>
      <c r="F118" s="34">
        <f t="shared" si="14"/>
        <v>5399.7</v>
      </c>
      <c r="H118" s="30">
        <v>70</v>
      </c>
      <c r="I118" s="30">
        <v>158</v>
      </c>
      <c r="J118" s="30">
        <v>265</v>
      </c>
      <c r="K118" s="65">
        <f t="shared" si="15"/>
        <v>493</v>
      </c>
      <c r="L118" s="10">
        <v>4390</v>
      </c>
      <c r="P118" s="30"/>
    </row>
    <row r="119" spans="1:16" ht="10.5">
      <c r="A119" s="7" t="s">
        <v>134</v>
      </c>
      <c r="B119" s="7" t="s">
        <v>134</v>
      </c>
      <c r="C119" s="165" t="s">
        <v>141</v>
      </c>
      <c r="D119" s="8" t="s">
        <v>38</v>
      </c>
      <c r="E119" s="8">
        <v>8</v>
      </c>
      <c r="F119" s="34">
        <f t="shared" si="14"/>
        <v>6249.63</v>
      </c>
      <c r="H119" s="30">
        <v>162</v>
      </c>
      <c r="I119" s="30">
        <v>102</v>
      </c>
      <c r="J119" s="30">
        <v>159</v>
      </c>
      <c r="K119" s="65">
        <f t="shared" si="15"/>
        <v>423</v>
      </c>
      <c r="L119" s="10">
        <v>5081</v>
      </c>
      <c r="P119" s="30"/>
    </row>
    <row r="120" spans="1:16" ht="10.5">
      <c r="A120" s="7" t="s">
        <v>134</v>
      </c>
      <c r="B120" s="7" t="s">
        <v>134</v>
      </c>
      <c r="C120" s="99" t="s">
        <v>146</v>
      </c>
      <c r="D120" s="8" t="s">
        <v>36</v>
      </c>
      <c r="E120" s="8">
        <v>4</v>
      </c>
      <c r="F120" s="34">
        <f aca="true" t="shared" si="16" ref="F120:F128">L120*1.23</f>
        <v>3075</v>
      </c>
      <c r="G120" s="9">
        <v>146</v>
      </c>
      <c r="H120" s="30">
        <v>63</v>
      </c>
      <c r="I120" s="30">
        <v>75</v>
      </c>
      <c r="J120" s="30">
        <v>66</v>
      </c>
      <c r="K120" s="65">
        <f aca="true" t="shared" si="17" ref="K120:K128">G120+H120+I120+J120</f>
        <v>350</v>
      </c>
      <c r="L120" s="49">
        <v>2500</v>
      </c>
      <c r="P120" s="30"/>
    </row>
    <row r="121" spans="1:16" ht="10.5">
      <c r="A121" s="7" t="s">
        <v>134</v>
      </c>
      <c r="B121" s="7" t="s">
        <v>134</v>
      </c>
      <c r="C121" s="99" t="s">
        <v>145</v>
      </c>
      <c r="D121" s="8" t="s">
        <v>36</v>
      </c>
      <c r="E121" s="8">
        <v>2</v>
      </c>
      <c r="F121" s="34">
        <f t="shared" si="16"/>
        <v>4735.5</v>
      </c>
      <c r="G121" s="9">
        <v>159</v>
      </c>
      <c r="H121" s="30">
        <v>64</v>
      </c>
      <c r="I121" s="30">
        <v>52</v>
      </c>
      <c r="J121" s="30">
        <v>25</v>
      </c>
      <c r="K121" s="65">
        <f t="shared" si="17"/>
        <v>300</v>
      </c>
      <c r="L121" s="49">
        <v>3850</v>
      </c>
      <c r="P121" s="30"/>
    </row>
    <row r="122" spans="1:16" ht="10.5">
      <c r="A122" s="7" t="s">
        <v>134</v>
      </c>
      <c r="B122" s="7" t="s">
        <v>134</v>
      </c>
      <c r="C122" s="165" t="s">
        <v>144</v>
      </c>
      <c r="D122" s="8" t="s">
        <v>36</v>
      </c>
      <c r="E122" s="8">
        <v>2</v>
      </c>
      <c r="F122" s="34">
        <v>5301</v>
      </c>
      <c r="G122" s="9">
        <v>78</v>
      </c>
      <c r="H122" s="30">
        <v>69</v>
      </c>
      <c r="I122" s="30">
        <v>57</v>
      </c>
      <c r="J122" s="30">
        <v>49</v>
      </c>
      <c r="K122" s="65">
        <f t="shared" si="17"/>
        <v>253</v>
      </c>
      <c r="L122" s="49">
        <v>4150</v>
      </c>
      <c r="P122" s="30"/>
    </row>
    <row r="123" spans="1:16" ht="10.5">
      <c r="A123" s="7" t="s">
        <v>134</v>
      </c>
      <c r="B123" s="7" t="s">
        <v>134</v>
      </c>
      <c r="C123" s="99" t="s">
        <v>147</v>
      </c>
      <c r="D123" s="8" t="s">
        <v>38</v>
      </c>
      <c r="E123" s="8">
        <v>2</v>
      </c>
      <c r="F123" s="34">
        <f t="shared" si="16"/>
        <v>4495.65</v>
      </c>
      <c r="G123" s="9">
        <v>112</v>
      </c>
      <c r="H123" s="30">
        <v>50</v>
      </c>
      <c r="I123" s="30">
        <v>16</v>
      </c>
      <c r="J123" s="30">
        <v>23</v>
      </c>
      <c r="K123" s="65">
        <f t="shared" si="17"/>
        <v>201</v>
      </c>
      <c r="L123" s="49">
        <v>3655</v>
      </c>
      <c r="P123" s="30"/>
    </row>
    <row r="124" spans="1:16" ht="10.5">
      <c r="A124" s="7" t="s">
        <v>134</v>
      </c>
      <c r="B124" s="7" t="s">
        <v>134</v>
      </c>
      <c r="C124" s="99" t="s">
        <v>151</v>
      </c>
      <c r="D124" s="8" t="s">
        <v>36</v>
      </c>
      <c r="E124" s="8">
        <v>2</v>
      </c>
      <c r="F124" s="34">
        <f t="shared" si="16"/>
        <v>3321</v>
      </c>
      <c r="G124" s="9">
        <v>77</v>
      </c>
      <c r="H124" s="30">
        <v>17</v>
      </c>
      <c r="I124" s="30">
        <v>28</v>
      </c>
      <c r="J124" s="30">
        <v>41</v>
      </c>
      <c r="K124" s="65">
        <f t="shared" si="17"/>
        <v>163</v>
      </c>
      <c r="L124" s="49">
        <v>2700</v>
      </c>
      <c r="P124" s="30"/>
    </row>
    <row r="125" spans="1:16" ht="10.5">
      <c r="A125" s="7" t="s">
        <v>134</v>
      </c>
      <c r="B125" s="7" t="s">
        <v>134</v>
      </c>
      <c r="C125" s="99" t="s">
        <v>149</v>
      </c>
      <c r="D125" s="8" t="s">
        <v>36</v>
      </c>
      <c r="E125" s="8">
        <v>2</v>
      </c>
      <c r="F125" s="34">
        <f t="shared" si="16"/>
        <v>3321</v>
      </c>
      <c r="G125" s="9">
        <v>59</v>
      </c>
      <c r="H125" s="30">
        <v>25</v>
      </c>
      <c r="I125" s="30">
        <v>41</v>
      </c>
      <c r="J125" s="30">
        <v>30</v>
      </c>
      <c r="K125" s="65">
        <f t="shared" si="17"/>
        <v>155</v>
      </c>
      <c r="L125" s="49">
        <v>2700</v>
      </c>
      <c r="P125" s="30"/>
    </row>
    <row r="126" spans="1:16" ht="10.5">
      <c r="A126" s="7" t="s">
        <v>134</v>
      </c>
      <c r="B126" s="7" t="s">
        <v>134</v>
      </c>
      <c r="C126" s="99" t="s">
        <v>148</v>
      </c>
      <c r="D126" s="8" t="s">
        <v>36</v>
      </c>
      <c r="E126" s="8">
        <v>5</v>
      </c>
      <c r="F126" s="34">
        <f t="shared" si="16"/>
        <v>3321</v>
      </c>
      <c r="G126" s="9">
        <v>29</v>
      </c>
      <c r="H126" s="30">
        <v>32</v>
      </c>
      <c r="I126" s="30">
        <v>55</v>
      </c>
      <c r="J126" s="30">
        <v>38</v>
      </c>
      <c r="K126" s="65">
        <f t="shared" si="17"/>
        <v>154</v>
      </c>
      <c r="L126" s="49">
        <v>2700</v>
      </c>
      <c r="P126" s="30"/>
    </row>
    <row r="127" spans="1:16" ht="10.5">
      <c r="A127" s="7" t="s">
        <v>134</v>
      </c>
      <c r="B127" s="7" t="s">
        <v>134</v>
      </c>
      <c r="C127" s="165" t="s">
        <v>152</v>
      </c>
      <c r="D127" s="8" t="s">
        <v>36</v>
      </c>
      <c r="E127" s="8">
        <v>2</v>
      </c>
      <c r="F127" s="34">
        <f t="shared" si="16"/>
        <v>3399.72</v>
      </c>
      <c r="G127" s="9">
        <v>51</v>
      </c>
      <c r="H127" s="30">
        <v>16</v>
      </c>
      <c r="I127" s="30">
        <v>28</v>
      </c>
      <c r="J127" s="30">
        <v>47</v>
      </c>
      <c r="K127" s="65">
        <f t="shared" si="17"/>
        <v>142</v>
      </c>
      <c r="L127" s="49">
        <v>2764</v>
      </c>
      <c r="P127" s="30"/>
    </row>
    <row r="128" spans="1:16" ht="10.5">
      <c r="A128" s="7" t="s">
        <v>134</v>
      </c>
      <c r="B128" s="7" t="s">
        <v>134</v>
      </c>
      <c r="C128" s="99" t="s">
        <v>150</v>
      </c>
      <c r="D128" s="8" t="s">
        <v>36</v>
      </c>
      <c r="E128" s="8">
        <v>2</v>
      </c>
      <c r="F128" s="34">
        <f t="shared" si="16"/>
        <v>5535</v>
      </c>
      <c r="G128" s="9">
        <v>28</v>
      </c>
      <c r="H128" s="30">
        <v>22</v>
      </c>
      <c r="I128" s="30">
        <v>18</v>
      </c>
      <c r="J128" s="30">
        <v>20</v>
      </c>
      <c r="K128" s="65">
        <f t="shared" si="17"/>
        <v>88</v>
      </c>
      <c r="L128" s="49">
        <v>4500</v>
      </c>
      <c r="P128" s="30"/>
    </row>
    <row r="129" spans="1:16" ht="10.5">
      <c r="A129" s="7" t="s">
        <v>134</v>
      </c>
      <c r="B129" s="7" t="s">
        <v>134</v>
      </c>
      <c r="C129" s="99" t="s">
        <v>153</v>
      </c>
      <c r="D129" s="8" t="s">
        <v>40</v>
      </c>
      <c r="E129" s="8">
        <v>2</v>
      </c>
      <c r="F129" s="34">
        <v>3678</v>
      </c>
      <c r="G129" s="9">
        <v>32</v>
      </c>
      <c r="H129" s="30">
        <v>-1</v>
      </c>
      <c r="I129" s="30">
        <v>1</v>
      </c>
      <c r="J129" s="30">
        <v>8</v>
      </c>
      <c r="K129" s="65">
        <f>G129+H129+I129+J129</f>
        <v>40</v>
      </c>
      <c r="L129" s="49">
        <v>2990</v>
      </c>
      <c r="P129" s="30"/>
    </row>
    <row r="130" spans="1:18" ht="10.5">
      <c r="A130" s="7" t="s">
        <v>134</v>
      </c>
      <c r="B130" s="7" t="s">
        <v>134</v>
      </c>
      <c r="C130" s="144" t="s">
        <v>154</v>
      </c>
      <c r="D130" s="8" t="s">
        <v>36</v>
      </c>
      <c r="E130" s="8">
        <v>2</v>
      </c>
      <c r="F130" s="34">
        <f>L130*1.23</f>
        <v>4366.5</v>
      </c>
      <c r="G130" s="9">
        <v>12</v>
      </c>
      <c r="J130" s="30">
        <v>1</v>
      </c>
      <c r="K130" s="65">
        <f>G130+H130+I130+J130</f>
        <v>13</v>
      </c>
      <c r="L130" s="49">
        <v>3550</v>
      </c>
      <c r="P130" s="30"/>
      <c r="Q130" s="79"/>
      <c r="R130" s="79"/>
    </row>
    <row r="131" spans="1:16" ht="10.5">
      <c r="A131" s="7" t="s">
        <v>134</v>
      </c>
      <c r="B131" s="7" t="s">
        <v>134</v>
      </c>
      <c r="C131" s="144" t="s">
        <v>155</v>
      </c>
      <c r="D131" s="8" t="s">
        <v>38</v>
      </c>
      <c r="E131" s="8">
        <v>4</v>
      </c>
      <c r="F131" s="34">
        <f>L131*1.23</f>
        <v>3382.5</v>
      </c>
      <c r="G131" s="9">
        <v>-3</v>
      </c>
      <c r="I131" s="30">
        <v>2</v>
      </c>
      <c r="J131" s="30">
        <v>2</v>
      </c>
      <c r="K131" s="65">
        <f>G131+H131+I131+J131</f>
        <v>1</v>
      </c>
      <c r="L131" s="49">
        <v>2750</v>
      </c>
      <c r="P131" s="30"/>
    </row>
    <row r="132" spans="1:16" ht="11.25" thickBot="1">
      <c r="A132" s="7"/>
      <c r="B132" s="7" t="s">
        <v>134</v>
      </c>
      <c r="C132" s="2" t="s">
        <v>14</v>
      </c>
      <c r="D132" s="3"/>
      <c r="E132" s="3"/>
      <c r="F132" s="33"/>
      <c r="G132" s="4">
        <f>SUM(G117:G131)</f>
        <v>793</v>
      </c>
      <c r="H132" s="48">
        <f>SUM(H117:H131)</f>
        <v>723</v>
      </c>
      <c r="I132" s="48">
        <f>SUM(I117:I131)</f>
        <v>837</v>
      </c>
      <c r="J132" s="48">
        <f>SUM(J117:J131)</f>
        <v>1165</v>
      </c>
      <c r="K132" s="86">
        <f>SUM(K117:K131)</f>
        <v>3518</v>
      </c>
      <c r="L132" s="97"/>
      <c r="M132" s="33"/>
      <c r="N132" s="33"/>
      <c r="O132" s="4"/>
      <c r="P132" s="48"/>
    </row>
    <row r="133" spans="1:16" ht="10.5">
      <c r="A133" s="7" t="s">
        <v>134</v>
      </c>
      <c r="B133" s="13"/>
      <c r="C133" s="13" t="s">
        <v>156</v>
      </c>
      <c r="D133" s="14"/>
      <c r="E133" s="14"/>
      <c r="F133" s="35"/>
      <c r="G133" s="42">
        <f>SUM(G114:G116)+G132</f>
        <v>837</v>
      </c>
      <c r="H133" s="42">
        <f>SUM(H114:H116)+H132</f>
        <v>738</v>
      </c>
      <c r="I133" s="42">
        <f>SUM(I114:I116)+I132</f>
        <v>865</v>
      </c>
      <c r="J133" s="42">
        <f>SUM(J114:J116)+J132</f>
        <v>1190</v>
      </c>
      <c r="K133" s="67">
        <f>SUM(K114:K116)+K132</f>
        <v>3630</v>
      </c>
      <c r="L133" s="96"/>
      <c r="M133" s="16"/>
      <c r="N133" s="16"/>
      <c r="O133" s="42"/>
      <c r="P133" s="42"/>
    </row>
    <row r="134" spans="1:15" ht="12.75">
      <c r="A134" s="7" t="s">
        <v>134</v>
      </c>
      <c r="B134" s="27"/>
      <c r="C134" s="27" t="s">
        <v>46</v>
      </c>
      <c r="D134" s="28"/>
      <c r="E134" s="28"/>
      <c r="F134" s="36"/>
      <c r="G134" s="72">
        <f>G133/G176</f>
        <v>0.06495925494761351</v>
      </c>
      <c r="H134" s="74">
        <f>H133/H176</f>
        <v>0.06022523257711768</v>
      </c>
      <c r="I134" s="74">
        <f>I133/I176</f>
        <v>0.07579740623904661</v>
      </c>
      <c r="J134" s="74">
        <f>J133/J176</f>
        <v>0.08793969849246232</v>
      </c>
      <c r="K134" s="73">
        <f>K133/K176</f>
        <v>0.07247968372501647</v>
      </c>
      <c r="L134" s="64"/>
      <c r="M134" s="72"/>
      <c r="N134" s="72"/>
      <c r="O134" s="107"/>
    </row>
    <row r="135" spans="1:12" ht="10.5">
      <c r="A135" s="7" t="s">
        <v>134</v>
      </c>
      <c r="C135" s="7" t="s">
        <v>47</v>
      </c>
      <c r="H135" s="30">
        <f>G133+H133</f>
        <v>1575</v>
      </c>
      <c r="I135" s="30">
        <f>G133+H133+I133</f>
        <v>2440</v>
      </c>
      <c r="J135" s="30">
        <f>G133+H133+I133+J133</f>
        <v>3630</v>
      </c>
      <c r="L135" s="64"/>
    </row>
    <row r="136" ht="10.5">
      <c r="L136" s="64"/>
    </row>
    <row r="137" spans="1:12" ht="10.5">
      <c r="A137" s="6" t="s">
        <v>49</v>
      </c>
      <c r="B137" s="7" t="s">
        <v>157</v>
      </c>
      <c r="C137" s="99" t="s">
        <v>158</v>
      </c>
      <c r="D137" s="8" t="s">
        <v>36</v>
      </c>
      <c r="E137" s="8">
        <v>8</v>
      </c>
      <c r="F137" s="34">
        <f aca="true" t="shared" si="18" ref="F137:F146">L137*1.23</f>
        <v>5950.0019999999995</v>
      </c>
      <c r="G137" s="9">
        <v>627</v>
      </c>
      <c r="H137" s="30">
        <v>645</v>
      </c>
      <c r="I137" s="30">
        <v>473</v>
      </c>
      <c r="J137" s="30">
        <v>515</v>
      </c>
      <c r="K137" s="65">
        <f aca="true" t="shared" si="19" ref="K137:K146">G137+H137+I137+J137</f>
        <v>2260</v>
      </c>
      <c r="L137" s="49">
        <v>4837.4</v>
      </c>
    </row>
    <row r="138" spans="1:12" ht="10.5">
      <c r="A138" s="6" t="s">
        <v>49</v>
      </c>
      <c r="B138" s="7" t="s">
        <v>157</v>
      </c>
      <c r="C138" s="99" t="s">
        <v>159</v>
      </c>
      <c r="D138" s="8" t="s">
        <v>38</v>
      </c>
      <c r="E138" s="8">
        <v>8</v>
      </c>
      <c r="F138" s="34">
        <f t="shared" si="18"/>
        <v>5399.7</v>
      </c>
      <c r="G138" s="9">
        <v>506</v>
      </c>
      <c r="H138" s="30">
        <v>528</v>
      </c>
      <c r="I138" s="30">
        <v>418</v>
      </c>
      <c r="J138" s="30">
        <v>588</v>
      </c>
      <c r="K138" s="65">
        <f t="shared" si="19"/>
        <v>2040</v>
      </c>
      <c r="L138" s="49">
        <v>4390</v>
      </c>
    </row>
    <row r="139" spans="1:12" ht="10.5">
      <c r="A139" s="6" t="s">
        <v>49</v>
      </c>
      <c r="B139" s="7" t="s">
        <v>157</v>
      </c>
      <c r="C139" s="99">
        <v>143</v>
      </c>
      <c r="D139" s="8" t="s">
        <v>36</v>
      </c>
      <c r="E139" s="8">
        <v>5</v>
      </c>
      <c r="F139" s="34">
        <f t="shared" si="18"/>
        <v>3000.0069000000003</v>
      </c>
      <c r="G139" s="9">
        <v>63</v>
      </c>
      <c r="H139" s="30">
        <v>50</v>
      </c>
      <c r="I139" s="30">
        <v>52</v>
      </c>
      <c r="J139" s="25">
        <v>64</v>
      </c>
      <c r="K139" s="65">
        <f t="shared" si="19"/>
        <v>229</v>
      </c>
      <c r="L139" s="49">
        <v>2439.03</v>
      </c>
    </row>
    <row r="140" spans="1:12" ht="10.5">
      <c r="A140" s="6" t="s">
        <v>49</v>
      </c>
      <c r="B140" s="7" t="s">
        <v>157</v>
      </c>
      <c r="C140" s="99" t="s">
        <v>160</v>
      </c>
      <c r="D140" s="8" t="s">
        <v>36</v>
      </c>
      <c r="E140" s="31" t="s">
        <v>42</v>
      </c>
      <c r="F140" s="34">
        <f t="shared" si="18"/>
        <v>3400.0029</v>
      </c>
      <c r="G140" s="9">
        <v>49</v>
      </c>
      <c r="H140" s="30">
        <v>64</v>
      </c>
      <c r="I140" s="30">
        <v>46</v>
      </c>
      <c r="J140" s="25">
        <v>32</v>
      </c>
      <c r="K140" s="65">
        <f t="shared" si="19"/>
        <v>191</v>
      </c>
      <c r="L140" s="49">
        <v>2764.23</v>
      </c>
    </row>
    <row r="141" spans="1:12" ht="10.5">
      <c r="A141" s="6" t="s">
        <v>49</v>
      </c>
      <c r="B141" s="7" t="s">
        <v>157</v>
      </c>
      <c r="C141" s="99" t="s">
        <v>162</v>
      </c>
      <c r="D141" s="8" t="s">
        <v>38</v>
      </c>
      <c r="E141" s="31" t="s">
        <v>42</v>
      </c>
      <c r="F141" s="34">
        <f t="shared" si="18"/>
        <v>3699.9999000000003</v>
      </c>
      <c r="G141" s="9">
        <v>68</v>
      </c>
      <c r="H141" s="30">
        <v>29</v>
      </c>
      <c r="I141" s="30">
        <v>30</v>
      </c>
      <c r="J141" s="25">
        <v>28</v>
      </c>
      <c r="K141" s="65">
        <f t="shared" si="19"/>
        <v>155</v>
      </c>
      <c r="L141" s="49">
        <v>3008.13</v>
      </c>
    </row>
    <row r="142" spans="1:12" ht="10.5">
      <c r="A142" s="6" t="s">
        <v>49</v>
      </c>
      <c r="B142" s="7" t="s">
        <v>157</v>
      </c>
      <c r="C142" s="99" t="s">
        <v>161</v>
      </c>
      <c r="D142" s="8" t="s">
        <v>36</v>
      </c>
      <c r="E142" s="31">
        <v>3</v>
      </c>
      <c r="F142" s="34">
        <f t="shared" si="18"/>
        <v>3400.0029</v>
      </c>
      <c r="G142" s="9">
        <v>65</v>
      </c>
      <c r="H142" s="30">
        <v>47</v>
      </c>
      <c r="I142" s="30">
        <v>26</v>
      </c>
      <c r="J142" s="25">
        <v>17</v>
      </c>
      <c r="K142" s="65">
        <f t="shared" si="19"/>
        <v>155</v>
      </c>
      <c r="L142" s="49">
        <v>2764.23</v>
      </c>
    </row>
    <row r="143" spans="1:12" ht="10.5">
      <c r="A143" s="6" t="s">
        <v>49</v>
      </c>
      <c r="B143" s="7" t="s">
        <v>157</v>
      </c>
      <c r="C143" s="99" t="s">
        <v>165</v>
      </c>
      <c r="D143" s="8" t="s">
        <v>36</v>
      </c>
      <c r="E143" s="8">
        <v>7</v>
      </c>
      <c r="F143" s="34">
        <f t="shared" si="18"/>
        <v>5300.07</v>
      </c>
      <c r="G143" s="9">
        <v>16</v>
      </c>
      <c r="H143" s="30">
        <v>14</v>
      </c>
      <c r="I143" s="30">
        <v>25</v>
      </c>
      <c r="J143" s="9">
        <v>20</v>
      </c>
      <c r="K143" s="65">
        <f t="shared" si="19"/>
        <v>75</v>
      </c>
      <c r="L143" s="49">
        <v>4309</v>
      </c>
    </row>
    <row r="144" spans="1:256" s="29" customFormat="1" ht="10.5">
      <c r="A144" s="6" t="s">
        <v>49</v>
      </c>
      <c r="B144" s="7" t="s">
        <v>157</v>
      </c>
      <c r="C144" s="99" t="s">
        <v>163</v>
      </c>
      <c r="D144" s="8" t="s">
        <v>130</v>
      </c>
      <c r="E144" s="8">
        <v>1</v>
      </c>
      <c r="F144" s="34">
        <f t="shared" si="18"/>
        <v>3000.0069000000003</v>
      </c>
      <c r="G144" s="9">
        <v>14</v>
      </c>
      <c r="H144" s="30">
        <v>21</v>
      </c>
      <c r="I144" s="30">
        <v>14</v>
      </c>
      <c r="J144" s="25">
        <v>16</v>
      </c>
      <c r="K144" s="65">
        <f t="shared" si="19"/>
        <v>65</v>
      </c>
      <c r="L144" s="49">
        <v>2439.03</v>
      </c>
      <c r="M144" s="10"/>
      <c r="N144" s="10"/>
      <c r="O144" s="9"/>
      <c r="P144" s="9"/>
      <c r="Q144" s="76"/>
      <c r="R144" s="76"/>
      <c r="S144" s="76"/>
      <c r="T144" s="76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15" ht="10.5">
      <c r="A145" s="6" t="s">
        <v>49</v>
      </c>
      <c r="B145" s="7" t="s">
        <v>157</v>
      </c>
      <c r="C145" s="99" t="s">
        <v>164</v>
      </c>
      <c r="D145" s="8" t="s">
        <v>38</v>
      </c>
      <c r="E145" s="8">
        <v>6</v>
      </c>
      <c r="F145" s="34">
        <f t="shared" si="18"/>
        <v>3650.0004</v>
      </c>
      <c r="G145" s="9">
        <v>8</v>
      </c>
      <c r="H145" s="30">
        <v>15</v>
      </c>
      <c r="I145" s="30">
        <v>8</v>
      </c>
      <c r="J145" s="25">
        <v>7</v>
      </c>
      <c r="K145" s="65">
        <f t="shared" si="19"/>
        <v>38</v>
      </c>
      <c r="L145" s="49">
        <v>2967.48</v>
      </c>
      <c r="O145" s="29"/>
    </row>
    <row r="146" spans="1:12" ht="10.5">
      <c r="A146" s="6" t="s">
        <v>49</v>
      </c>
      <c r="B146" s="7" t="s">
        <v>157</v>
      </c>
      <c r="C146" s="99" t="s">
        <v>166</v>
      </c>
      <c r="D146" s="8" t="s">
        <v>36</v>
      </c>
      <c r="E146" s="8">
        <v>6</v>
      </c>
      <c r="F146" s="34">
        <f t="shared" si="18"/>
        <v>4530.09</v>
      </c>
      <c r="G146" s="9">
        <v>8</v>
      </c>
      <c r="H146" s="30">
        <v>9</v>
      </c>
      <c r="I146" s="30">
        <v>5</v>
      </c>
      <c r="J146" s="25">
        <v>3</v>
      </c>
      <c r="K146" s="65">
        <f t="shared" si="19"/>
        <v>25</v>
      </c>
      <c r="L146" s="49">
        <v>3683</v>
      </c>
    </row>
    <row r="147" spans="1:12" ht="10.5">
      <c r="A147" s="6" t="s">
        <v>49</v>
      </c>
      <c r="B147" s="7" t="s">
        <v>168</v>
      </c>
      <c r="C147" s="144" t="s">
        <v>169</v>
      </c>
      <c r="D147" s="8" t="s">
        <v>36</v>
      </c>
      <c r="E147" s="8">
        <v>8</v>
      </c>
      <c r="F147" s="34">
        <v>5400</v>
      </c>
      <c r="G147" s="9">
        <v>14</v>
      </c>
      <c r="J147" s="25"/>
      <c r="K147" s="65">
        <f aca="true" t="shared" si="20" ref="K147:K152">G147+H147+I147+J147</f>
        <v>14</v>
      </c>
      <c r="L147" s="64">
        <v>4390</v>
      </c>
    </row>
    <row r="148" spans="1:12" ht="10.5">
      <c r="A148" s="6" t="s">
        <v>49</v>
      </c>
      <c r="B148" s="7" t="s">
        <v>157</v>
      </c>
      <c r="C148" s="144" t="s">
        <v>170</v>
      </c>
      <c r="D148" s="8" t="s">
        <v>40</v>
      </c>
      <c r="E148" s="8">
        <v>4</v>
      </c>
      <c r="F148" s="34">
        <f>L148*1.23</f>
        <v>3650.0004</v>
      </c>
      <c r="G148" s="9">
        <v>4</v>
      </c>
      <c r="I148" s="30">
        <v>2</v>
      </c>
      <c r="J148" s="25">
        <v>3</v>
      </c>
      <c r="K148" s="65">
        <f t="shared" si="20"/>
        <v>9</v>
      </c>
      <c r="L148" s="64">
        <v>2967.48</v>
      </c>
    </row>
    <row r="149" spans="1:12" ht="10.5">
      <c r="A149" s="6" t="s">
        <v>49</v>
      </c>
      <c r="B149" s="7" t="s">
        <v>157</v>
      </c>
      <c r="C149" s="99" t="s">
        <v>171</v>
      </c>
      <c r="D149" s="8" t="s">
        <v>130</v>
      </c>
      <c r="E149" s="8">
        <v>1</v>
      </c>
      <c r="F149" s="34">
        <f>L149*1.23</f>
        <v>1600.0086</v>
      </c>
      <c r="G149" s="9">
        <v>2</v>
      </c>
      <c r="J149" s="25">
        <v>1</v>
      </c>
      <c r="K149" s="65">
        <f t="shared" si="20"/>
        <v>3</v>
      </c>
      <c r="L149" s="49">
        <v>1300.82</v>
      </c>
    </row>
    <row r="150" spans="1:256" ht="10.5">
      <c r="A150" s="6" t="s">
        <v>49</v>
      </c>
      <c r="B150" s="7" t="s">
        <v>157</v>
      </c>
      <c r="C150" s="144" t="s">
        <v>172</v>
      </c>
      <c r="D150" s="8" t="s">
        <v>36</v>
      </c>
      <c r="E150" s="41">
        <v>5</v>
      </c>
      <c r="F150" s="34">
        <f>L150*1.23</f>
        <v>3272.0091</v>
      </c>
      <c r="G150" s="9">
        <v>-3</v>
      </c>
      <c r="I150" s="30">
        <v>2</v>
      </c>
      <c r="J150" s="9"/>
      <c r="K150" s="65">
        <f t="shared" si="20"/>
        <v>-1</v>
      </c>
      <c r="L150" s="49">
        <v>2660.17</v>
      </c>
      <c r="Q150" s="79"/>
      <c r="R150" s="79"/>
      <c r="S150" s="79"/>
      <c r="T150" s="7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  <c r="IV150" s="29"/>
    </row>
    <row r="151" spans="1:12" ht="10.5">
      <c r="A151" s="6" t="s">
        <v>49</v>
      </c>
      <c r="B151" s="7" t="s">
        <v>157</v>
      </c>
      <c r="C151" s="144" t="s">
        <v>173</v>
      </c>
      <c r="D151" s="8" t="s">
        <v>36</v>
      </c>
      <c r="E151" s="31" t="s">
        <v>42</v>
      </c>
      <c r="F151" s="34">
        <f>L151*1.23</f>
        <v>3400.0029</v>
      </c>
      <c r="G151" s="9">
        <v>-3</v>
      </c>
      <c r="J151" s="25"/>
      <c r="K151" s="65">
        <f t="shared" si="20"/>
        <v>-3</v>
      </c>
      <c r="L151" s="64">
        <v>2764.23</v>
      </c>
    </row>
    <row r="152" spans="1:16" ht="11.25" thickBot="1">
      <c r="A152" s="6" t="s">
        <v>49</v>
      </c>
      <c r="B152" s="7" t="s">
        <v>157</v>
      </c>
      <c r="C152" s="144" t="s">
        <v>167</v>
      </c>
      <c r="D152" s="8" t="s">
        <v>36</v>
      </c>
      <c r="E152" s="8">
        <v>6</v>
      </c>
      <c r="F152" s="34">
        <f>L152*1.23</f>
        <v>3322.0086</v>
      </c>
      <c r="G152" s="9">
        <v>-5</v>
      </c>
      <c r="H152" s="30">
        <v>2</v>
      </c>
      <c r="J152" s="25"/>
      <c r="K152" s="65">
        <f t="shared" si="20"/>
        <v>-3</v>
      </c>
      <c r="L152" s="64">
        <v>2700.82</v>
      </c>
      <c r="P152" s="29"/>
    </row>
    <row r="153" spans="1:14" ht="10.5">
      <c r="A153" s="12" t="s">
        <v>49</v>
      </c>
      <c r="B153" s="13"/>
      <c r="C153" s="13" t="s">
        <v>174</v>
      </c>
      <c r="D153" s="14"/>
      <c r="E153" s="14"/>
      <c r="F153" s="35"/>
      <c r="G153" s="42">
        <f>SUM(G137:G152)</f>
        <v>1433</v>
      </c>
      <c r="H153" s="42">
        <f>SUM(H137:H152)</f>
        <v>1424</v>
      </c>
      <c r="I153" s="42">
        <f>SUM(I137:I152)</f>
        <v>1101</v>
      </c>
      <c r="J153" s="42">
        <f>SUM(J137:J152)</f>
        <v>1294</v>
      </c>
      <c r="K153" s="67">
        <f>SUM(K137:K152)</f>
        <v>5252</v>
      </c>
      <c r="L153" s="96"/>
      <c r="M153" s="16"/>
      <c r="N153" s="16"/>
    </row>
    <row r="154" spans="1:14" ht="10.5">
      <c r="A154" s="6" t="s">
        <v>49</v>
      </c>
      <c r="B154" s="27"/>
      <c r="C154" s="27" t="s">
        <v>46</v>
      </c>
      <c r="D154" s="28"/>
      <c r="E154" s="28"/>
      <c r="F154" s="36"/>
      <c r="G154" s="72">
        <f>G153/G176</f>
        <v>0.11121459060923554</v>
      </c>
      <c r="H154" s="74">
        <f>H153/H176</f>
        <v>0.11620695283172841</v>
      </c>
      <c r="I154" s="74">
        <f>I153/I176</f>
        <v>0.09647739221871714</v>
      </c>
      <c r="J154" s="74">
        <f>J153/J176</f>
        <v>0.09562518474726574</v>
      </c>
      <c r="K154" s="73">
        <f>K153/K176</f>
        <v>0.10486592256853623</v>
      </c>
      <c r="L154" s="64"/>
      <c r="M154" s="72"/>
      <c r="N154" s="72"/>
    </row>
    <row r="155" spans="1:12" ht="10.5">
      <c r="A155" s="6" t="s">
        <v>49</v>
      </c>
      <c r="C155" s="7" t="s">
        <v>47</v>
      </c>
      <c r="H155" s="30">
        <f>G153+H153</f>
        <v>2857</v>
      </c>
      <c r="I155" s="30">
        <f>G153+H153+I153</f>
        <v>3958</v>
      </c>
      <c r="J155" s="30">
        <f>G153+H153+I153+J153</f>
        <v>5252</v>
      </c>
      <c r="L155" s="64"/>
    </row>
    <row r="156" ht="10.5">
      <c r="L156" s="64"/>
    </row>
    <row r="157" spans="1:12" ht="10.5">
      <c r="A157" s="170" t="s">
        <v>175</v>
      </c>
      <c r="B157" s="171" t="s">
        <v>175</v>
      </c>
      <c r="C157" s="172" t="s">
        <v>177</v>
      </c>
      <c r="D157" s="173" t="s">
        <v>40</v>
      </c>
      <c r="E157" s="40" t="s">
        <v>124</v>
      </c>
      <c r="F157" s="34">
        <f aca="true" t="shared" si="21" ref="F157:F169">L157*1.23</f>
        <v>6150</v>
      </c>
      <c r="G157" s="166"/>
      <c r="H157" s="168"/>
      <c r="I157" s="168">
        <v>253</v>
      </c>
      <c r="J157" s="168">
        <v>520</v>
      </c>
      <c r="K157" s="174">
        <f aca="true" t="shared" si="22" ref="K157:K169">G157+H157+I157+J157</f>
        <v>773</v>
      </c>
      <c r="L157" s="175">
        <v>5000</v>
      </c>
    </row>
    <row r="158" spans="1:12" ht="10.5">
      <c r="A158" s="6" t="s">
        <v>175</v>
      </c>
      <c r="B158" s="7" t="s">
        <v>175</v>
      </c>
      <c r="C158" s="99" t="s">
        <v>176</v>
      </c>
      <c r="D158" s="8" t="s">
        <v>36</v>
      </c>
      <c r="E158" s="40" t="s">
        <v>124</v>
      </c>
      <c r="F158" s="34">
        <f t="shared" si="21"/>
        <v>5990.1</v>
      </c>
      <c r="G158" s="166">
        <v>0</v>
      </c>
      <c r="H158" s="168">
        <v>168</v>
      </c>
      <c r="I158" s="30">
        <v>321</v>
      </c>
      <c r="J158" s="168">
        <v>262</v>
      </c>
      <c r="K158" s="65">
        <f t="shared" si="22"/>
        <v>751</v>
      </c>
      <c r="L158" s="49">
        <v>4870</v>
      </c>
    </row>
    <row r="159" spans="1:12" ht="10.5">
      <c r="A159" s="6" t="s">
        <v>175</v>
      </c>
      <c r="B159" s="7" t="s">
        <v>175</v>
      </c>
      <c r="C159" s="99" t="s">
        <v>180</v>
      </c>
      <c r="D159" s="41" t="s">
        <v>40</v>
      </c>
      <c r="E159" s="41">
        <v>8</v>
      </c>
      <c r="F159" s="34">
        <f t="shared" si="21"/>
        <v>6273</v>
      </c>
      <c r="G159" s="166">
        <v>305</v>
      </c>
      <c r="H159" s="52">
        <v>206</v>
      </c>
      <c r="I159" s="151">
        <v>78</v>
      </c>
      <c r="J159" s="168">
        <v>25</v>
      </c>
      <c r="K159" s="65">
        <f t="shared" si="22"/>
        <v>614</v>
      </c>
      <c r="L159" s="155">
        <v>5100</v>
      </c>
    </row>
    <row r="160" spans="1:12" ht="10.5">
      <c r="A160" s="6" t="s">
        <v>175</v>
      </c>
      <c r="B160" s="7" t="s">
        <v>175</v>
      </c>
      <c r="C160" s="99" t="s">
        <v>178</v>
      </c>
      <c r="D160" s="8" t="s">
        <v>40</v>
      </c>
      <c r="E160" s="8">
        <v>4</v>
      </c>
      <c r="F160" s="34">
        <f t="shared" si="21"/>
        <v>3690</v>
      </c>
      <c r="G160" s="166">
        <v>195</v>
      </c>
      <c r="H160" s="168">
        <v>205</v>
      </c>
      <c r="I160" s="30">
        <v>130</v>
      </c>
      <c r="J160" s="168">
        <v>57</v>
      </c>
      <c r="K160" s="65">
        <f t="shared" si="22"/>
        <v>587</v>
      </c>
      <c r="L160" s="154">
        <v>3000</v>
      </c>
    </row>
    <row r="161" spans="1:12" ht="10.5">
      <c r="A161" s="6" t="s">
        <v>175</v>
      </c>
      <c r="B161" s="7" t="s">
        <v>175</v>
      </c>
      <c r="C161" s="99" t="s">
        <v>181</v>
      </c>
      <c r="D161" s="8" t="s">
        <v>112</v>
      </c>
      <c r="E161" s="8">
        <v>8</v>
      </c>
      <c r="F161" s="11">
        <v>7380</v>
      </c>
      <c r="G161" s="166">
        <v>185</v>
      </c>
      <c r="H161" s="169">
        <v>48</v>
      </c>
      <c r="I161" s="151">
        <v>70</v>
      </c>
      <c r="J161" s="168">
        <v>36</v>
      </c>
      <c r="K161" s="152">
        <f>G161+H161+I161+J161</f>
        <v>339</v>
      </c>
      <c r="L161" s="151">
        <v>6000</v>
      </c>
    </row>
    <row r="162" spans="1:12" ht="10.5">
      <c r="A162" s="6" t="s">
        <v>175</v>
      </c>
      <c r="B162" s="7" t="s">
        <v>175</v>
      </c>
      <c r="C162" s="99" t="s">
        <v>183</v>
      </c>
      <c r="D162" s="8" t="s">
        <v>40</v>
      </c>
      <c r="E162" s="31"/>
      <c r="F162" s="34">
        <f t="shared" si="21"/>
        <v>3690</v>
      </c>
      <c r="G162" s="166">
        <v>87</v>
      </c>
      <c r="H162" s="168">
        <v>95</v>
      </c>
      <c r="I162" s="30">
        <v>20</v>
      </c>
      <c r="J162" s="168">
        <v>123</v>
      </c>
      <c r="K162" s="65">
        <f t="shared" si="22"/>
        <v>325</v>
      </c>
      <c r="L162" s="154">
        <v>3000</v>
      </c>
    </row>
    <row r="163" spans="1:12" ht="10.5">
      <c r="A163" s="6" t="s">
        <v>175</v>
      </c>
      <c r="B163" s="7" t="s">
        <v>175</v>
      </c>
      <c r="C163" s="99" t="s">
        <v>229</v>
      </c>
      <c r="D163" s="8" t="s">
        <v>38</v>
      </c>
      <c r="E163" s="40" t="s">
        <v>124</v>
      </c>
      <c r="F163" s="34">
        <f t="shared" si="21"/>
        <v>5900.3099999999995</v>
      </c>
      <c r="G163" s="166">
        <v>0</v>
      </c>
      <c r="H163" s="168">
        <v>35</v>
      </c>
      <c r="I163" s="30">
        <v>57</v>
      </c>
      <c r="J163" s="168">
        <v>51</v>
      </c>
      <c r="K163" s="65">
        <f t="shared" si="22"/>
        <v>143</v>
      </c>
      <c r="L163" s="49">
        <v>4797</v>
      </c>
    </row>
    <row r="164" spans="1:12" ht="10.5">
      <c r="A164" s="6" t="s">
        <v>175</v>
      </c>
      <c r="B164" s="7" t="s">
        <v>175</v>
      </c>
      <c r="C164" s="99" t="s">
        <v>182</v>
      </c>
      <c r="D164" s="8" t="s">
        <v>38</v>
      </c>
      <c r="E164" s="8">
        <v>4</v>
      </c>
      <c r="F164" s="34">
        <f t="shared" si="21"/>
        <v>3690</v>
      </c>
      <c r="G164" s="166">
        <v>45</v>
      </c>
      <c r="H164" s="168">
        <v>15</v>
      </c>
      <c r="I164" s="30">
        <v>50</v>
      </c>
      <c r="J164" s="168">
        <v>24</v>
      </c>
      <c r="K164" s="65">
        <f t="shared" si="22"/>
        <v>134</v>
      </c>
      <c r="L164" s="154">
        <v>3000</v>
      </c>
    </row>
    <row r="165" spans="1:12" ht="10.5">
      <c r="A165" s="170" t="s">
        <v>175</v>
      </c>
      <c r="B165" s="171" t="s">
        <v>175</v>
      </c>
      <c r="C165" s="172" t="s">
        <v>179</v>
      </c>
      <c r="D165" s="173" t="s">
        <v>112</v>
      </c>
      <c r="E165" s="40" t="s">
        <v>124</v>
      </c>
      <c r="F165" s="34">
        <f t="shared" si="21"/>
        <v>6600.18</v>
      </c>
      <c r="G165" s="166"/>
      <c r="H165" s="168"/>
      <c r="I165" s="168">
        <v>90</v>
      </c>
      <c r="J165" s="168">
        <v>25</v>
      </c>
      <c r="K165" s="174">
        <f t="shared" si="22"/>
        <v>115</v>
      </c>
      <c r="L165" s="175">
        <v>5366</v>
      </c>
    </row>
    <row r="166" spans="1:12" ht="10.5">
      <c r="A166" s="6" t="s">
        <v>175</v>
      </c>
      <c r="B166" s="7" t="s">
        <v>175</v>
      </c>
      <c r="C166" s="99" t="s">
        <v>180</v>
      </c>
      <c r="D166" s="41" t="s">
        <v>38</v>
      </c>
      <c r="E166" s="41">
        <v>8</v>
      </c>
      <c r="F166" s="34">
        <f t="shared" si="21"/>
        <v>6273</v>
      </c>
      <c r="G166" s="166">
        <v>65</v>
      </c>
      <c r="H166" s="39">
        <v>26</v>
      </c>
      <c r="I166" s="151">
        <v>14</v>
      </c>
      <c r="J166" s="168">
        <v>4</v>
      </c>
      <c r="K166" s="65">
        <f t="shared" si="22"/>
        <v>109</v>
      </c>
      <c r="L166" s="155">
        <v>5100</v>
      </c>
    </row>
    <row r="167" spans="1:12" ht="10.5">
      <c r="A167" s="6" t="s">
        <v>175</v>
      </c>
      <c r="B167" s="7" t="s">
        <v>175</v>
      </c>
      <c r="C167" s="99" t="s">
        <v>184</v>
      </c>
      <c r="D167" s="8" t="s">
        <v>36</v>
      </c>
      <c r="E167" s="31">
        <v>6</v>
      </c>
      <c r="F167" s="34">
        <f t="shared" si="21"/>
        <v>3394.7999999999997</v>
      </c>
      <c r="G167" s="166">
        <v>12</v>
      </c>
      <c r="H167" s="168">
        <v>5</v>
      </c>
      <c r="I167" s="30">
        <v>7</v>
      </c>
      <c r="J167" s="168">
        <v>1</v>
      </c>
      <c r="K167" s="65">
        <f t="shared" si="22"/>
        <v>25</v>
      </c>
      <c r="L167" s="49">
        <v>2760</v>
      </c>
    </row>
    <row r="168" spans="1:12" ht="10.5">
      <c r="A168" s="7" t="s">
        <v>175</v>
      </c>
      <c r="B168" s="7" t="s">
        <v>175</v>
      </c>
      <c r="C168" s="99" t="s">
        <v>185</v>
      </c>
      <c r="D168" s="8" t="s">
        <v>36</v>
      </c>
      <c r="E168" s="31">
        <v>6</v>
      </c>
      <c r="F168" s="34">
        <f t="shared" si="21"/>
        <v>3321</v>
      </c>
      <c r="G168" s="166">
        <v>2</v>
      </c>
      <c r="H168" s="168">
        <v>7</v>
      </c>
      <c r="I168" s="30">
        <v>5</v>
      </c>
      <c r="J168" s="168">
        <v>5</v>
      </c>
      <c r="K168" s="65">
        <f t="shared" si="22"/>
        <v>19</v>
      </c>
      <c r="L168" s="49">
        <v>2700</v>
      </c>
    </row>
    <row r="169" spans="1:12" ht="10.5">
      <c r="A169" s="7" t="s">
        <v>175</v>
      </c>
      <c r="B169" s="7" t="s">
        <v>175</v>
      </c>
      <c r="C169" s="99" t="s">
        <v>186</v>
      </c>
      <c r="D169" s="8" t="s">
        <v>40</v>
      </c>
      <c r="E169" s="40" t="s">
        <v>124</v>
      </c>
      <c r="F169" s="34">
        <f t="shared" si="21"/>
        <v>7380</v>
      </c>
      <c r="G169" s="166"/>
      <c r="H169" s="168">
        <v>9</v>
      </c>
      <c r="I169" s="30">
        <v>0</v>
      </c>
      <c r="J169" s="168">
        <v>0</v>
      </c>
      <c r="K169" s="65">
        <f t="shared" si="22"/>
        <v>9</v>
      </c>
      <c r="L169" s="49">
        <v>6000</v>
      </c>
    </row>
    <row r="170" spans="1:12" ht="10.5">
      <c r="A170" s="7" t="s">
        <v>175</v>
      </c>
      <c r="B170" s="7" t="s">
        <v>175</v>
      </c>
      <c r="C170" s="99" t="s">
        <v>187</v>
      </c>
      <c r="D170" s="8" t="s">
        <v>36</v>
      </c>
      <c r="E170" s="31">
        <v>6</v>
      </c>
      <c r="F170" s="34">
        <f>L170*1.23</f>
        <v>3394.7999999999997</v>
      </c>
      <c r="G170" s="166">
        <v>1</v>
      </c>
      <c r="H170" s="168">
        <v>3</v>
      </c>
      <c r="J170" s="168">
        <v>3</v>
      </c>
      <c r="K170" s="65">
        <f>G170+H170+I170+J170</f>
        <v>7</v>
      </c>
      <c r="L170" s="49">
        <v>2760</v>
      </c>
    </row>
    <row r="171" spans="1:12" ht="11.25" thickBot="1">
      <c r="A171" s="7" t="s">
        <v>175</v>
      </c>
      <c r="B171" s="7" t="s">
        <v>175</v>
      </c>
      <c r="C171" s="99" t="s">
        <v>189</v>
      </c>
      <c r="D171" s="8" t="s">
        <v>38</v>
      </c>
      <c r="E171" s="40" t="s">
        <v>188</v>
      </c>
      <c r="F171" s="34">
        <f>L171*1.23</f>
        <v>3690</v>
      </c>
      <c r="G171" s="166">
        <v>0</v>
      </c>
      <c r="H171" s="168"/>
      <c r="J171" s="168">
        <v>5</v>
      </c>
      <c r="K171" s="65">
        <f>G171+H171+I171+J171</f>
        <v>5</v>
      </c>
      <c r="L171" s="49">
        <v>3000</v>
      </c>
    </row>
    <row r="172" spans="1:14" ht="10.5">
      <c r="A172" s="12" t="s">
        <v>175</v>
      </c>
      <c r="B172" s="13"/>
      <c r="C172" s="13" t="s">
        <v>190</v>
      </c>
      <c r="D172" s="14"/>
      <c r="E172" s="14"/>
      <c r="F172" s="35"/>
      <c r="G172" s="42">
        <f>SUM(G157:G171)</f>
        <v>897</v>
      </c>
      <c r="H172" s="42">
        <f>SUM(H157:H171)</f>
        <v>822</v>
      </c>
      <c r="I172" s="42">
        <f>SUM(I157:I171)</f>
        <v>1095</v>
      </c>
      <c r="J172" s="42">
        <f>SUM(J157:J171)</f>
        <v>1141</v>
      </c>
      <c r="K172" s="67">
        <f>SUM(K157:K171)</f>
        <v>3955</v>
      </c>
      <c r="L172" s="96"/>
      <c r="M172" s="16"/>
      <c r="N172" s="16"/>
    </row>
    <row r="173" spans="1:14" ht="10.5">
      <c r="A173" s="26" t="s">
        <v>175</v>
      </c>
      <c r="B173" s="27"/>
      <c r="C173" s="27" t="s">
        <v>46</v>
      </c>
      <c r="D173" s="28"/>
      <c r="E173" s="28"/>
      <c r="F173" s="36"/>
      <c r="G173" s="72">
        <f>G172/G176</f>
        <v>0.06961583236321303</v>
      </c>
      <c r="H173" s="74">
        <f>H172/H176</f>
        <v>0.06708013709809042</v>
      </c>
      <c r="I173" s="74">
        <f>I172/I176</f>
        <v>0.09595162986330179</v>
      </c>
      <c r="J173" s="74">
        <f>J172/J176</f>
        <v>0.08431865208394916</v>
      </c>
      <c r="K173" s="73">
        <f>K172/K176</f>
        <v>0.07896891160673282</v>
      </c>
      <c r="L173" s="64"/>
      <c r="M173" s="72"/>
      <c r="N173" s="72"/>
    </row>
    <row r="174" spans="1:12" ht="10.5">
      <c r="A174" s="6" t="s">
        <v>175</v>
      </c>
      <c r="C174" s="7" t="s">
        <v>47</v>
      </c>
      <c r="H174" s="30">
        <f>G172+H172</f>
        <v>1719</v>
      </c>
      <c r="I174" s="30">
        <f>G172+H172+I172</f>
        <v>2814</v>
      </c>
      <c r="J174" s="30">
        <f>G172+H172+I172+J172</f>
        <v>3955</v>
      </c>
      <c r="L174" s="64"/>
    </row>
    <row r="175" ht="11.25" thickBot="1">
      <c r="L175" s="64"/>
    </row>
    <row r="176" spans="3:16" ht="11.25" thickBot="1">
      <c r="C176" s="102" t="s">
        <v>191</v>
      </c>
      <c r="D176" s="21"/>
      <c r="E176" s="21"/>
      <c r="F176" s="37"/>
      <c r="G176" s="22">
        <f>SUM(G11,G33,G53,G153,G77,G94,G110,G66,G133,G172)</f>
        <v>12885</v>
      </c>
      <c r="H176" s="50">
        <f>SUM(H11,H33,H53,H153,H77,H94,H110,H66,H133,H172)</f>
        <v>12254</v>
      </c>
      <c r="I176" s="50">
        <f>SUM(I11,I33,I53,I153,I77,I94,I110,I66,I133,I172)</f>
        <v>11412</v>
      </c>
      <c r="J176" s="50">
        <f>SUM(J11,J33,J53,J153,J77,J94,J110,J66,J133,J172)</f>
        <v>13532</v>
      </c>
      <c r="K176" s="68">
        <f>SUM(K11,K33,K53,K153,K133,K77,K94,K110,K66,K172)</f>
        <v>50083</v>
      </c>
      <c r="L176" s="98"/>
      <c r="M176" s="24"/>
      <c r="N176" s="24"/>
      <c r="P176" s="8"/>
    </row>
    <row r="177" spans="12:15" ht="12.75">
      <c r="L177" s="64"/>
      <c r="M177" s="32"/>
      <c r="O177" s="107"/>
    </row>
    <row r="178" ht="10.5">
      <c r="L178" s="64"/>
    </row>
    <row r="179" spans="1:12" ht="10.5">
      <c r="A179" s="19" t="s">
        <v>95</v>
      </c>
      <c r="B179" s="9" t="s">
        <v>96</v>
      </c>
      <c r="C179" s="191" t="s">
        <v>240</v>
      </c>
      <c r="D179" s="9"/>
      <c r="E179" s="9"/>
      <c r="F179" s="34">
        <f>L179*1.23</f>
        <v>991.9335000000001</v>
      </c>
      <c r="J179" s="30">
        <v>98</v>
      </c>
      <c r="K179" s="65">
        <f>G179+H179+I179+J179</f>
        <v>98</v>
      </c>
      <c r="L179" s="190">
        <v>806.45</v>
      </c>
    </row>
    <row r="180" spans="1:12" ht="10.5">
      <c r="A180" s="19" t="s">
        <v>192</v>
      </c>
      <c r="B180" s="9" t="s">
        <v>134</v>
      </c>
      <c r="C180" s="55" t="s">
        <v>193</v>
      </c>
      <c r="D180" s="9"/>
      <c r="E180" s="9"/>
      <c r="F180" s="34">
        <f>L180*1.23</f>
        <v>1230</v>
      </c>
      <c r="K180" s="65">
        <v>16</v>
      </c>
      <c r="L180" s="49">
        <v>1000</v>
      </c>
    </row>
    <row r="181" spans="1:12" ht="10.5">
      <c r="A181" s="19" t="s">
        <v>192</v>
      </c>
      <c r="B181" s="9" t="s">
        <v>134</v>
      </c>
      <c r="C181" s="55" t="s">
        <v>194</v>
      </c>
      <c r="D181" s="9"/>
      <c r="E181" s="9"/>
      <c r="F181" s="34">
        <f>L181*1.23</f>
        <v>1230</v>
      </c>
      <c r="K181" s="65">
        <v>406</v>
      </c>
      <c r="L181" s="49">
        <v>1000</v>
      </c>
    </row>
    <row r="182" spans="1:12" ht="10.5">
      <c r="A182" s="19" t="s">
        <v>192</v>
      </c>
      <c r="B182" s="9" t="s">
        <v>134</v>
      </c>
      <c r="C182" s="55" t="s">
        <v>195</v>
      </c>
      <c r="D182" s="9"/>
      <c r="E182" s="9"/>
      <c r="F182" s="34">
        <f>L182*1.23</f>
        <v>1230</v>
      </c>
      <c r="K182" s="65">
        <v>321</v>
      </c>
      <c r="L182" s="49">
        <v>1000</v>
      </c>
    </row>
    <row r="183" spans="1:12" ht="11.25" thickBot="1">
      <c r="A183" s="6" t="s">
        <v>175</v>
      </c>
      <c r="B183" s="7" t="s">
        <v>175</v>
      </c>
      <c r="C183" s="99" t="s">
        <v>196</v>
      </c>
      <c r="F183" s="11">
        <v>1291.5</v>
      </c>
      <c r="H183" s="9"/>
      <c r="I183" s="9"/>
      <c r="J183" s="9"/>
      <c r="K183" s="65">
        <v>39</v>
      </c>
      <c r="L183" s="49">
        <v>1050</v>
      </c>
    </row>
    <row r="184" spans="1:14" ht="11.25" thickBot="1">
      <c r="A184" s="25"/>
      <c r="B184" s="25"/>
      <c r="C184" s="38" t="s">
        <v>197</v>
      </c>
      <c r="D184" s="22"/>
      <c r="E184" s="22"/>
      <c r="F184" s="22"/>
      <c r="G184" s="50">
        <f>SUM(G179:G183)</f>
        <v>0</v>
      </c>
      <c r="H184" s="50">
        <f>SUM(H179:H183)</f>
        <v>0</v>
      </c>
      <c r="I184" s="50">
        <f>SUM(I179:I183)</f>
        <v>0</v>
      </c>
      <c r="J184" s="50">
        <f>SUM(J179:J183)</f>
        <v>98</v>
      </c>
      <c r="K184" s="68">
        <f>SUM(K179:K183)</f>
        <v>880</v>
      </c>
      <c r="L184" s="23"/>
      <c r="M184" s="24"/>
      <c r="N184" s="24"/>
    </row>
    <row r="185" spans="1:16" ht="11.25" thickBot="1">
      <c r="A185" s="25"/>
      <c r="B185" s="25"/>
      <c r="C185" s="9"/>
      <c r="D185" s="9"/>
      <c r="E185" s="9"/>
      <c r="F185" s="9"/>
      <c r="G185" s="55"/>
      <c r="J185" s="49"/>
      <c r="L185" s="157" t="s">
        <v>198</v>
      </c>
      <c r="M185" s="158"/>
      <c r="O185" s="8"/>
      <c r="P185" s="17"/>
    </row>
    <row r="186" spans="3:16" ht="11.25" thickTop="1">
      <c r="C186" s="43" t="s">
        <v>199</v>
      </c>
      <c r="D186" s="44"/>
      <c r="E186" s="44"/>
      <c r="F186" s="45"/>
      <c r="G186" s="46">
        <f>SUMIF(D3:D169,"=BTE",G3:G169)</f>
        <v>7623</v>
      </c>
      <c r="H186" s="51">
        <f>SUMIF($D3:$D169,"=BTE",H3:H169)</f>
        <v>6679</v>
      </c>
      <c r="I186" s="51">
        <f>SUMIF($D$3:$D169,"=BTE",I3:I169)</f>
        <v>6403</v>
      </c>
      <c r="J186" s="51">
        <f>SUMIF($D$3:$D169,"=BTE",J3:J169)</f>
        <v>7111</v>
      </c>
      <c r="K186" s="71">
        <f>SUMIF($D$3:$D169,"=BTE",K3:K169)</f>
        <v>27816</v>
      </c>
      <c r="L186" s="159">
        <f>J186/J$176</f>
        <v>0.5254951226721845</v>
      </c>
      <c r="M186" s="160"/>
      <c r="O186" s="17"/>
      <c r="P186" s="17"/>
    </row>
    <row r="187" spans="3:15" ht="10.5">
      <c r="C187" s="47" t="s">
        <v>200</v>
      </c>
      <c r="G187" s="9">
        <f>SUMIF($D3:$D169,"=ITE",G3:G169)</f>
        <v>1981</v>
      </c>
      <c r="H187" s="30">
        <f>SUMIF($D3:$D169,"=ITE",H3:H169)</f>
        <v>2525</v>
      </c>
      <c r="I187" s="30">
        <f>SUMIF($D3:$D169,"=ITE",I3:I169)</f>
        <v>2154</v>
      </c>
      <c r="J187" s="30">
        <f>SUMIF($D3:$D169,"=ITE",J3:J169)</f>
        <v>3159</v>
      </c>
      <c r="K187" s="69">
        <f>SUMIF($D3:$D169,"=ITE",K3:K169)</f>
        <v>9819</v>
      </c>
      <c r="L187" s="159">
        <f>J187/J$176</f>
        <v>0.23344664498965415</v>
      </c>
      <c r="M187" s="160"/>
      <c r="O187" s="17"/>
    </row>
    <row r="188" spans="3:15" ht="10.5">
      <c r="C188" s="47" t="s">
        <v>201</v>
      </c>
      <c r="G188" s="9">
        <f>SUMIF($D3:$D169,"=kan",G3:G169)</f>
        <v>3062</v>
      </c>
      <c r="H188" s="30">
        <f>SUMIF($D3:$D169,"=kan",H3:H169)</f>
        <v>2969</v>
      </c>
      <c r="I188" s="30">
        <f>SUMIF($D3:$D169,"=kan",I3:I169)</f>
        <v>2660</v>
      </c>
      <c r="J188" s="30">
        <f>SUMIF($D3:$D169,"=kan",J3:J169)</f>
        <v>3019</v>
      </c>
      <c r="K188" s="69">
        <f>SUMIF($D3:$D169,"=kan",K3:K169)</f>
        <v>11710</v>
      </c>
      <c r="L188" s="159">
        <f>J188/J$176</f>
        <v>0.223100798108188</v>
      </c>
      <c r="M188" s="160"/>
      <c r="O188" s="17"/>
    </row>
    <row r="189" spans="3:15" ht="10.5">
      <c r="C189" s="47" t="s">
        <v>202</v>
      </c>
      <c r="G189" s="9">
        <f>SUMIF($D3:$D169,"=KRP",G3:G169)</f>
        <v>22</v>
      </c>
      <c r="H189" s="30">
        <f>SUMIF($D3:$D169,"=KRP",H3:H169)</f>
        <v>27</v>
      </c>
      <c r="I189" s="30">
        <f>SUMIF($D3:$D169,"=KRP",I3:I169)</f>
        <v>23</v>
      </c>
      <c r="J189" s="30">
        <f>SUMIF($D3:$D169,"=KRP",J3:J169)</f>
        <v>24</v>
      </c>
      <c r="K189" s="69">
        <f>SUMIF($D3:$D169,"=KRP",K3:K169)</f>
        <v>96</v>
      </c>
      <c r="L189" s="159">
        <f>J189/J$176</f>
        <v>0.0017735737511084836</v>
      </c>
      <c r="M189" s="160"/>
      <c r="O189" s="17"/>
    </row>
    <row r="190" spans="3:15" ht="10.5">
      <c r="C190" s="47" t="s">
        <v>203</v>
      </c>
      <c r="G190" s="9">
        <f>G176-SUM(G186:G189)</f>
        <v>197</v>
      </c>
      <c r="H190" s="30">
        <f>H176-SUM(H186:H189)</f>
        <v>54</v>
      </c>
      <c r="I190" s="30">
        <f>I176-SUM(I186:I189)</f>
        <v>172</v>
      </c>
      <c r="J190" s="30">
        <f>J176-SUM(J186:J189)</f>
        <v>219</v>
      </c>
      <c r="K190" s="69">
        <f>K176-SUM(K186:K189)</f>
        <v>642</v>
      </c>
      <c r="L190" s="159">
        <f>J190/J$176</f>
        <v>0.016183860478864914</v>
      </c>
      <c r="M190" s="160"/>
      <c r="O190" s="17"/>
    </row>
    <row r="191" spans="3:13" ht="11.25" thickBot="1">
      <c r="C191" s="80" t="s">
        <v>204</v>
      </c>
      <c r="D191" s="81"/>
      <c r="E191" s="81"/>
      <c r="F191" s="82"/>
      <c r="G191" s="83">
        <f aca="true" t="shared" si="23" ref="G191:L191">SUM(G186:G190)</f>
        <v>12885</v>
      </c>
      <c r="H191" s="84">
        <f t="shared" si="23"/>
        <v>12254</v>
      </c>
      <c r="I191" s="84">
        <f t="shared" si="23"/>
        <v>11412</v>
      </c>
      <c r="J191" s="84">
        <f t="shared" si="23"/>
        <v>13532</v>
      </c>
      <c r="K191" s="85">
        <f t="shared" si="23"/>
        <v>50083</v>
      </c>
      <c r="L191" s="167">
        <f t="shared" si="23"/>
        <v>1.0000000000000002</v>
      </c>
      <c r="M191" s="167"/>
    </row>
    <row r="192" ht="11.25" thickTop="1"/>
    <row r="202" ht="10.5">
      <c r="L202" s="10" t="s">
        <v>205</v>
      </c>
    </row>
    <row r="203" ht="10.5">
      <c r="L203" s="10" t="s">
        <v>206</v>
      </c>
    </row>
    <row r="204" ht="10.5">
      <c r="G204" s="30"/>
    </row>
    <row r="205" spans="3:12" ht="10.5">
      <c r="C205" s="7" t="s">
        <v>207</v>
      </c>
      <c r="G205" s="30">
        <f>SUMIF($E3:$E169,"=1",G3:G169)</f>
        <v>22</v>
      </c>
      <c r="H205" s="30">
        <f>SUMIF($E3:$E169,"=1",H3:H169)</f>
        <v>27</v>
      </c>
      <c r="I205" s="30">
        <f>SUMIF($E3:$E169,"=1",I3:I169)</f>
        <v>23</v>
      </c>
      <c r="J205" s="30">
        <f>SUMIF($E3:$E169,"=1",J3:J169)</f>
        <v>24</v>
      </c>
      <c r="K205" s="65">
        <f>SUMIF($E3:$E169,"=1",K3:K169)</f>
        <v>96</v>
      </c>
      <c r="L205" s="72">
        <f aca="true" t="shared" si="24" ref="L205:L213">K205/K$176</f>
        <v>0.0019168180819839067</v>
      </c>
    </row>
    <row r="206" spans="3:12" ht="10.5">
      <c r="C206" s="7" t="s">
        <v>208</v>
      </c>
      <c r="G206" s="30">
        <f>SUMIF($E3:$E169,"=2",G3:G169)</f>
        <v>608</v>
      </c>
      <c r="H206" s="30">
        <f>SUMIF($E3:$E169,"=2",H3:H169)</f>
        <v>262</v>
      </c>
      <c r="I206" s="30">
        <f>SUMIF($E3:$E169,"=2",I3:I169)</f>
        <v>241</v>
      </c>
      <c r="J206" s="30">
        <f>SUMIF($E3:$E169,"=2",J3:J169)</f>
        <v>244</v>
      </c>
      <c r="K206" s="65">
        <f>SUMIF($E3:$E169,"=2",K3:K169)</f>
        <v>1355</v>
      </c>
      <c r="L206" s="72">
        <f t="shared" si="24"/>
        <v>0.027055088553002017</v>
      </c>
    </row>
    <row r="207" spans="3:12" ht="10.5">
      <c r="C207" s="7" t="s">
        <v>209</v>
      </c>
      <c r="G207" s="30">
        <f>SUMIF($E3:$E169,"=3",G3:G169)</f>
        <v>265</v>
      </c>
      <c r="H207" s="30">
        <f>SUMIF($E3:$E169,"=3",H3:H169)</f>
        <v>200</v>
      </c>
      <c r="I207" s="30">
        <f>SUMIF($E3:$E169,"=3",I3:I169)</f>
        <v>158</v>
      </c>
      <c r="J207" s="30">
        <f>SUMIF($E3:$E169,"=3",J3:J169)</f>
        <v>133</v>
      </c>
      <c r="K207" s="65">
        <f>SUMIF($E3:$E169,"=3",K3:K169)</f>
        <v>756</v>
      </c>
      <c r="L207" s="72">
        <f t="shared" si="24"/>
        <v>0.015094942395623265</v>
      </c>
    </row>
    <row r="208" spans="3:12" ht="10.5">
      <c r="C208" s="7" t="s">
        <v>210</v>
      </c>
      <c r="G208" s="30">
        <f>SUMIF($E3:$E169,"=4",G3:G169)</f>
        <v>448</v>
      </c>
      <c r="H208" s="30">
        <f>SUMIF($E3:$E169,"=4",H3:H169)</f>
        <v>303</v>
      </c>
      <c r="I208" s="30">
        <f>SUMIF($E3:$E169,"=4",I3:I169)</f>
        <v>274</v>
      </c>
      <c r="J208" s="30">
        <f>SUMIF($E3:$E169,"=4",J3:J169)</f>
        <v>172</v>
      </c>
      <c r="K208" s="65">
        <f>SUMIF($E3:$E169,"=4",K3:K169)</f>
        <v>1197</v>
      </c>
      <c r="L208" s="72">
        <f t="shared" si="24"/>
        <v>0.023900325459736835</v>
      </c>
    </row>
    <row r="209" spans="3:12" ht="10.5">
      <c r="C209" s="7" t="s">
        <v>211</v>
      </c>
      <c r="G209" s="30">
        <f>SUMIF($E3:$E169,"=5",G3:G169)</f>
        <v>345</v>
      </c>
      <c r="H209" s="30">
        <f>SUMIF($E3:$E169,"=5",H3:H169)</f>
        <v>227</v>
      </c>
      <c r="I209" s="30">
        <f>SUMIF($E3:$E169,"=5",I3:I169)</f>
        <v>283</v>
      </c>
      <c r="J209" s="30">
        <f>SUMIF($E3:$E169,"=5",J3:J169)</f>
        <v>273</v>
      </c>
      <c r="K209" s="65">
        <f>SUMIF($E3:$E169,"=5",K3:K169)</f>
        <v>1128</v>
      </c>
      <c r="L209" s="72">
        <f t="shared" si="24"/>
        <v>0.022522612463310904</v>
      </c>
    </row>
    <row r="210" spans="3:12" ht="10.5">
      <c r="C210" s="7" t="s">
        <v>212</v>
      </c>
      <c r="G210" s="30">
        <f>SUMIF($E3:$E169,"=6",G3:G169)</f>
        <v>457</v>
      </c>
      <c r="H210" s="30">
        <f>SUMIF($E3:$E169,"=6",H3:H169)</f>
        <v>409</v>
      </c>
      <c r="I210" s="30">
        <f>SUMIF($E3:$E169,"=6",I3:I169)</f>
        <v>256</v>
      </c>
      <c r="J210" s="30">
        <f>SUMIF($E3:$E169,"=6",J3:J169)</f>
        <v>275</v>
      </c>
      <c r="K210" s="65">
        <f>SUMIF($E3:$E169,"=6",K3:K169)</f>
        <v>1397</v>
      </c>
      <c r="L210" s="72">
        <f t="shared" si="24"/>
        <v>0.027893696463869976</v>
      </c>
    </row>
    <row r="211" spans="3:12" ht="10.5">
      <c r="C211" s="7" t="s">
        <v>213</v>
      </c>
      <c r="G211" s="30">
        <f>SUMIF($E3:$E169,"=7",G3:G169)</f>
        <v>55</v>
      </c>
      <c r="H211" s="30">
        <f>SUMIF($E3:$E169,"=7",H3:H169)</f>
        <v>31</v>
      </c>
      <c r="I211" s="30">
        <f>SUMIF($E3:$E169,"=7",I3:I169)</f>
        <v>53</v>
      </c>
      <c r="J211" s="30">
        <f>SUMIF($E3:$E169,"=7",J3:J169)</f>
        <v>40</v>
      </c>
      <c r="K211" s="65">
        <f>SUMIF($E3:$E169,"=7",K3:K169)</f>
        <v>179</v>
      </c>
      <c r="L211" s="72">
        <f t="shared" si="24"/>
        <v>0.0035740670486991595</v>
      </c>
    </row>
    <row r="212" spans="3:12" ht="10.5">
      <c r="C212" s="7" t="s">
        <v>214</v>
      </c>
      <c r="G212" s="30">
        <f>SUMIF($E3:$E169,"=8",G3:G169)</f>
        <v>10518</v>
      </c>
      <c r="H212" s="30">
        <f>SUMIF($E3:$E169,"=8",H3:H169)</f>
        <v>10667</v>
      </c>
      <c r="I212" s="30">
        <f>SUMIF($E3:$E169,"=8",I3:I169)</f>
        <v>10066</v>
      </c>
      <c r="J212" s="30">
        <f>SUMIF($E3:$E169,"=8",J3:J169)</f>
        <v>12097</v>
      </c>
      <c r="K212" s="65">
        <f>SUMIF($E3:$E169,"=8",K3:K169)</f>
        <v>43348</v>
      </c>
      <c r="L212" s="72">
        <f t="shared" si="24"/>
        <v>0.8655232314358166</v>
      </c>
    </row>
    <row r="213" spans="3:12" ht="10.5">
      <c r="C213" s="7" t="s">
        <v>215</v>
      </c>
      <c r="G213" s="30">
        <f>G176-SUM(G205:G212)</f>
        <v>167</v>
      </c>
      <c r="H213" s="30">
        <f>H176-SUM(H205:H212)</f>
        <v>128</v>
      </c>
      <c r="I213" s="30">
        <f>I176-SUM(I205:I212)</f>
        <v>58</v>
      </c>
      <c r="J213" s="30">
        <f>J176-SUM(J205:J212)</f>
        <v>274</v>
      </c>
      <c r="K213" s="65">
        <f>K176-SUM(K205:K212)</f>
        <v>627</v>
      </c>
      <c r="L213" s="72">
        <f t="shared" si="24"/>
        <v>0.01251921809795739</v>
      </c>
    </row>
    <row r="214" spans="1:14" ht="10.5">
      <c r="A214" s="1"/>
      <c r="B214" s="2"/>
      <c r="C214" s="2" t="s">
        <v>14</v>
      </c>
      <c r="D214" s="3"/>
      <c r="E214" s="3"/>
      <c r="F214" s="33"/>
      <c r="G214" s="48">
        <f aca="true" t="shared" si="25" ref="G214:L214">SUM(G205:G213)</f>
        <v>12885</v>
      </c>
      <c r="H214" s="48">
        <f t="shared" si="25"/>
        <v>12254</v>
      </c>
      <c r="I214" s="48">
        <f t="shared" si="25"/>
        <v>11412</v>
      </c>
      <c r="J214" s="48">
        <f t="shared" si="25"/>
        <v>13532</v>
      </c>
      <c r="K214" s="86">
        <f t="shared" si="25"/>
        <v>50083</v>
      </c>
      <c r="L214" s="91">
        <f t="shared" si="25"/>
        <v>1</v>
      </c>
      <c r="M214" s="5"/>
      <c r="N214" s="5"/>
    </row>
    <row r="215" ht="10.5">
      <c r="G215" s="30"/>
    </row>
    <row r="216" spans="3:12" ht="10.5">
      <c r="C216" s="7" t="s">
        <v>216</v>
      </c>
      <c r="F216" s="88" t="s">
        <v>217</v>
      </c>
      <c r="G216" s="30">
        <f>SUMIF($F4:$F169,"&gt;3700",G4:G169)</f>
        <v>10973</v>
      </c>
      <c r="H216" s="30">
        <f>SUMIF($F4:$F169,"&gt;3700",H4:H169)</f>
        <v>10913</v>
      </c>
      <c r="I216" s="30">
        <f>SUMIF($F4:$F169,"&gt;3700",I4:I169)</f>
        <v>10271</v>
      </c>
      <c r="J216" s="30">
        <f>SUMIF($F4:$F169,"&gt;3700",J4:J169)</f>
        <v>12388</v>
      </c>
      <c r="K216" s="65">
        <f>SUMIF($F4:$F169,"&gt;3700",K4:K169)</f>
        <v>44545</v>
      </c>
      <c r="L216" s="72">
        <f>K216/K$176</f>
        <v>0.8894235568955534</v>
      </c>
    </row>
    <row r="217" spans="3:12" ht="10.5">
      <c r="C217" s="7" t="s">
        <v>218</v>
      </c>
      <c r="G217" s="89">
        <f>G212/G176</f>
        <v>0.8162980209545984</v>
      </c>
      <c r="H217" s="89">
        <f>H212/H176</f>
        <v>0.8704912681573364</v>
      </c>
      <c r="I217" s="89">
        <f>I212/I176</f>
        <v>0.8820539782684893</v>
      </c>
      <c r="J217" s="89">
        <f>J212/J176</f>
        <v>0.8939550694649719</v>
      </c>
      <c r="K217" s="90">
        <f>K212/K176</f>
        <v>0.8655232314358166</v>
      </c>
      <c r="L217" s="72"/>
    </row>
    <row r="218" spans="3:11" ht="10.5">
      <c r="C218" s="7" t="s">
        <v>219</v>
      </c>
      <c r="F218" s="55"/>
      <c r="G218" s="30"/>
      <c r="K218" s="65">
        <f>COUNT($F3:$F171)</f>
        <v>127</v>
      </c>
    </row>
    <row r="219" spans="6:7" ht="10.5">
      <c r="F219" s="55"/>
      <c r="G219" s="30"/>
    </row>
    <row r="220" ht="12.75"/>
    <row r="221" ht="12.75"/>
    <row r="222" ht="12.75"/>
    <row r="223" ht="12.75"/>
    <row r="224" spans="1:15" ht="12.75">
      <c r="A224" s="6"/>
      <c r="C224" s="103"/>
      <c r="H224" s="92"/>
      <c r="I224" s="92"/>
      <c r="J224" s="92"/>
      <c r="K224" s="105"/>
      <c r="O224" s="107"/>
    </row>
    <row r="225" spans="3:15" ht="12.75">
      <c r="C225" s="103"/>
      <c r="H225" s="92"/>
      <c r="I225" s="92"/>
      <c r="J225" s="92"/>
      <c r="K225" s="105"/>
      <c r="O225" s="107"/>
    </row>
    <row r="226" spans="3:15" ht="12.75">
      <c r="C226" s="103"/>
      <c r="H226" s="92"/>
      <c r="I226" s="92"/>
      <c r="J226" s="92"/>
      <c r="K226" s="105"/>
      <c r="O226" s="107"/>
    </row>
    <row r="227" spans="3:15" ht="12.75">
      <c r="C227" s="103"/>
      <c r="H227" s="92"/>
      <c r="I227" s="92"/>
      <c r="J227" s="92"/>
      <c r="K227" s="105"/>
      <c r="O227" s="107"/>
    </row>
    <row r="228" spans="3:15" ht="12.75">
      <c r="C228" s="103"/>
      <c r="H228" s="92"/>
      <c r="I228" s="92"/>
      <c r="J228" s="92"/>
      <c r="K228" s="105"/>
      <c r="O228" s="107"/>
    </row>
    <row r="229" spans="3:15" ht="12.75">
      <c r="C229" s="103"/>
      <c r="H229" s="92"/>
      <c r="I229" s="92"/>
      <c r="J229" s="92"/>
      <c r="K229" s="105"/>
      <c r="O229" s="107"/>
    </row>
    <row r="230" spans="3:15" ht="12.75">
      <c r="C230" s="103"/>
      <c r="H230" s="92"/>
      <c r="I230" s="92"/>
      <c r="J230" s="92"/>
      <c r="K230" s="105"/>
      <c r="O230" s="107"/>
    </row>
    <row r="231" spans="1:16" ht="12.75">
      <c r="A231"/>
      <c r="B231"/>
      <c r="C231" s="103"/>
      <c r="D231"/>
      <c r="E231"/>
      <c r="F231"/>
      <c r="G231"/>
      <c r="H231" s="92"/>
      <c r="I231" s="92"/>
      <c r="J231" s="92"/>
      <c r="K231" s="105"/>
      <c r="L231"/>
      <c r="M231"/>
      <c r="N231"/>
      <c r="O231" s="107"/>
      <c r="P231"/>
    </row>
    <row r="232" spans="1:16" ht="12.75">
      <c r="A232"/>
      <c r="B232"/>
      <c r="C232" s="103"/>
      <c r="D232"/>
      <c r="E232"/>
      <c r="F232"/>
      <c r="G232"/>
      <c r="H232" s="92"/>
      <c r="I232" s="92"/>
      <c r="J232" s="92"/>
      <c r="K232" s="105"/>
      <c r="L232"/>
      <c r="M232"/>
      <c r="N232"/>
      <c r="O232" s="107"/>
      <c r="P232"/>
    </row>
    <row r="233" spans="1:16" ht="12.75">
      <c r="A233"/>
      <c r="B233"/>
      <c r="C233" s="103"/>
      <c r="D233"/>
      <c r="E233"/>
      <c r="F233"/>
      <c r="G233"/>
      <c r="H233" s="92"/>
      <c r="I233" s="92"/>
      <c r="J233" s="92"/>
      <c r="K233" s="105"/>
      <c r="L233"/>
      <c r="M233"/>
      <c r="N233"/>
      <c r="O233" s="107"/>
      <c r="P233"/>
    </row>
    <row r="234" spans="1:17" ht="12.75">
      <c r="A234"/>
      <c r="B234"/>
      <c r="C234" s="103"/>
      <c r="D234"/>
      <c r="E234"/>
      <c r="F234"/>
      <c r="G234"/>
      <c r="H234" s="92"/>
      <c r="I234" s="92"/>
      <c r="J234" s="92"/>
      <c r="K234" s="105"/>
      <c r="L234" s="145" t="s">
        <v>220</v>
      </c>
      <c r="M234"/>
      <c r="N234"/>
      <c r="O234" s="9" t="s">
        <v>220</v>
      </c>
      <c r="Q234" s="75"/>
    </row>
    <row r="235" spans="1:17" ht="12.75">
      <c r="A235"/>
      <c r="L235" s="146" t="s">
        <v>221</v>
      </c>
      <c r="O235" s="9" t="s">
        <v>14</v>
      </c>
      <c r="Q235" s="100"/>
    </row>
    <row r="236" spans="3:16" ht="10.5">
      <c r="C236" s="7" t="s">
        <v>7</v>
      </c>
      <c r="G236" s="39">
        <f>$G$94</f>
        <v>4346</v>
      </c>
      <c r="H236" s="52">
        <f>$H$94</f>
        <v>3725</v>
      </c>
      <c r="I236" s="52">
        <f>$I$94</f>
        <v>3041</v>
      </c>
      <c r="J236" s="52">
        <f>$J$94</f>
        <v>2888</v>
      </c>
      <c r="K236" s="70">
        <f>K$94</f>
        <v>14000</v>
      </c>
      <c r="L236" s="147">
        <f>J236/J$246</f>
        <v>0.21342004138338752</v>
      </c>
      <c r="M236" s="54"/>
      <c r="N236" s="54"/>
      <c r="O236" s="72">
        <f aca="true" t="shared" si="26" ref="O236:O245">K236/K$246</f>
        <v>0.2795359702893197</v>
      </c>
      <c r="P236" s="72"/>
    </row>
    <row r="237" spans="1:16" ht="12.75">
      <c r="A237"/>
      <c r="C237" s="7" t="s">
        <v>8</v>
      </c>
      <c r="G237" s="39">
        <f>$G$110</f>
        <v>2367</v>
      </c>
      <c r="H237" s="52">
        <f>$H$110</f>
        <v>2648</v>
      </c>
      <c r="I237" s="52">
        <f>$I$110</f>
        <v>2387</v>
      </c>
      <c r="J237" s="52">
        <f>$J$110</f>
        <v>2944</v>
      </c>
      <c r="K237" s="70">
        <f>K$110</f>
        <v>10346</v>
      </c>
      <c r="L237" s="147">
        <f aca="true" t="shared" si="27" ref="L237:L245">J237/J$246</f>
        <v>0.21755838013597398</v>
      </c>
      <c r="M237" s="54"/>
      <c r="N237" s="54"/>
      <c r="O237" s="72">
        <f t="shared" si="26"/>
        <v>0.2065770820438073</v>
      </c>
      <c r="P237" s="72"/>
    </row>
    <row r="238" spans="1:16" ht="12.75">
      <c r="A238"/>
      <c r="C238" s="7" t="s">
        <v>222</v>
      </c>
      <c r="D238" s="7"/>
      <c r="G238" s="39">
        <f>$G$153</f>
        <v>1433</v>
      </c>
      <c r="H238" s="52">
        <f>$H$153</f>
        <v>1424</v>
      </c>
      <c r="I238" s="52">
        <f>$I$153</f>
        <v>1101</v>
      </c>
      <c r="J238" s="52">
        <f>$J$153</f>
        <v>1294</v>
      </c>
      <c r="K238" s="70">
        <f>K$153</f>
        <v>5252</v>
      </c>
      <c r="L238" s="147">
        <f t="shared" si="27"/>
        <v>0.09562518474726574</v>
      </c>
      <c r="M238" s="54"/>
      <c r="N238" s="54"/>
      <c r="O238" s="72">
        <f t="shared" si="26"/>
        <v>0.10486592256853623</v>
      </c>
      <c r="P238" s="72"/>
    </row>
    <row r="239" spans="1:16" ht="12.75">
      <c r="A239"/>
      <c r="C239" s="7" t="s">
        <v>223</v>
      </c>
      <c r="G239" s="39">
        <f>$G$66</f>
        <v>1007</v>
      </c>
      <c r="H239" s="52">
        <f>$H$66</f>
        <v>1024</v>
      </c>
      <c r="I239" s="52">
        <f>$I$66</f>
        <v>844</v>
      </c>
      <c r="J239" s="52">
        <f>$J$66</f>
        <v>1080</v>
      </c>
      <c r="K239" s="70">
        <f>K$66</f>
        <v>3955</v>
      </c>
      <c r="L239" s="147">
        <f t="shared" si="27"/>
        <v>0.07981081879988176</v>
      </c>
      <c r="M239" s="54"/>
      <c r="N239" s="54"/>
      <c r="O239" s="72">
        <f t="shared" si="26"/>
        <v>0.07896891160673282</v>
      </c>
      <c r="P239" s="72"/>
    </row>
    <row r="240" spans="1:16" ht="12.75">
      <c r="A240"/>
      <c r="C240" s="7" t="s">
        <v>12</v>
      </c>
      <c r="G240" s="39">
        <f>$G$172</f>
        <v>897</v>
      </c>
      <c r="H240" s="52">
        <f>$H$172</f>
        <v>822</v>
      </c>
      <c r="I240" s="52">
        <f>$I$172</f>
        <v>1095</v>
      </c>
      <c r="J240" s="52">
        <f>$J$172</f>
        <v>1141</v>
      </c>
      <c r="K240" s="70">
        <f>K$172</f>
        <v>3955</v>
      </c>
      <c r="L240" s="147">
        <f t="shared" si="27"/>
        <v>0.08431865208394916</v>
      </c>
      <c r="M240" s="54"/>
      <c r="N240" s="54"/>
      <c r="O240" s="72">
        <f t="shared" si="26"/>
        <v>0.07896891160673282</v>
      </c>
      <c r="P240" s="72"/>
    </row>
    <row r="241" spans="1:16" ht="12.75">
      <c r="A241"/>
      <c r="C241" s="7" t="s">
        <v>10</v>
      </c>
      <c r="G241" s="39">
        <f>$G$133</f>
        <v>837</v>
      </c>
      <c r="H241" s="52">
        <f>$H$133</f>
        <v>738</v>
      </c>
      <c r="I241" s="52">
        <f>$I$133</f>
        <v>865</v>
      </c>
      <c r="J241" s="52">
        <f>J$133</f>
        <v>1190</v>
      </c>
      <c r="K241" s="70">
        <f>LEVERT!$K$133</f>
        <v>3630</v>
      </c>
      <c r="L241" s="147">
        <f t="shared" si="27"/>
        <v>0.08793969849246232</v>
      </c>
      <c r="M241" s="54"/>
      <c r="N241" s="54"/>
      <c r="O241" s="72">
        <f t="shared" si="26"/>
        <v>0.07247968372501647</v>
      </c>
      <c r="P241" s="72"/>
    </row>
    <row r="242" spans="1:16" ht="12.75">
      <c r="A242"/>
      <c r="C242" s="25" t="s">
        <v>3</v>
      </c>
      <c r="G242" s="39">
        <f>$G$11</f>
        <v>649</v>
      </c>
      <c r="H242" s="52">
        <f>$H$11</f>
        <v>706</v>
      </c>
      <c r="I242" s="52">
        <f>$I$11</f>
        <v>663</v>
      </c>
      <c r="J242" s="30">
        <f>J$11</f>
        <v>976</v>
      </c>
      <c r="K242" s="65">
        <f>K$11</f>
        <v>2994</v>
      </c>
      <c r="L242" s="147">
        <f t="shared" si="27"/>
        <v>0.07212533254507833</v>
      </c>
      <c r="M242" s="49"/>
      <c r="N242" s="49"/>
      <c r="O242" s="72">
        <f t="shared" si="26"/>
        <v>0.05978076393187309</v>
      </c>
      <c r="P242" s="72"/>
    </row>
    <row r="243" spans="1:16" ht="12.75">
      <c r="A243"/>
      <c r="C243" s="7" t="s">
        <v>4</v>
      </c>
      <c r="G243" s="39">
        <f>$G$53</f>
        <v>590</v>
      </c>
      <c r="H243" s="52">
        <f>$H$53</f>
        <v>541</v>
      </c>
      <c r="I243" s="52">
        <f>$I$53</f>
        <v>785</v>
      </c>
      <c r="J243" s="52">
        <f>J$53</f>
        <v>1039</v>
      </c>
      <c r="K243" s="70">
        <f>K$53</f>
        <v>2955</v>
      </c>
      <c r="L243" s="147">
        <f t="shared" si="27"/>
        <v>0.0767809636417381</v>
      </c>
      <c r="M243" s="54"/>
      <c r="N243" s="54"/>
      <c r="O243" s="72">
        <f t="shared" si="26"/>
        <v>0.05900205658606713</v>
      </c>
      <c r="P243" s="72"/>
    </row>
    <row r="244" spans="1:16" ht="12.75">
      <c r="A244"/>
      <c r="C244" s="7" t="s">
        <v>6</v>
      </c>
      <c r="G244" s="39">
        <f>$G$77</f>
        <v>335</v>
      </c>
      <c r="H244" s="52">
        <f>$H$77</f>
        <v>275</v>
      </c>
      <c r="I244" s="52">
        <f>$I$77</f>
        <v>376</v>
      </c>
      <c r="J244" s="52">
        <f>J$77</f>
        <v>686</v>
      </c>
      <c r="K244" s="70">
        <f>K$77</f>
        <v>1672</v>
      </c>
      <c r="L244" s="147">
        <f t="shared" si="27"/>
        <v>0.05069464971918416</v>
      </c>
      <c r="M244" s="54"/>
      <c r="N244" s="54"/>
      <c r="O244" s="72">
        <f t="shared" si="26"/>
        <v>0.03338458159455304</v>
      </c>
      <c r="P244" s="72"/>
    </row>
    <row r="245" spans="1:16" ht="13.5" thickBot="1">
      <c r="A245"/>
      <c r="C245" s="7" t="s">
        <v>5</v>
      </c>
      <c r="G245" s="39">
        <f>$G$33</f>
        <v>424</v>
      </c>
      <c r="H245" s="52">
        <f>$H$33</f>
        <v>351</v>
      </c>
      <c r="I245" s="53">
        <f>$I$33</f>
        <v>255</v>
      </c>
      <c r="J245" s="52">
        <f>J$33</f>
        <v>294</v>
      </c>
      <c r="K245" s="70">
        <f>K$33</f>
        <v>1324</v>
      </c>
      <c r="L245" s="147">
        <f t="shared" si="27"/>
        <v>0.021726278451078922</v>
      </c>
      <c r="M245" s="54"/>
      <c r="N245" s="54"/>
      <c r="O245" s="72">
        <f t="shared" si="26"/>
        <v>0.02643611604736138</v>
      </c>
      <c r="P245" s="72"/>
    </row>
    <row r="246" spans="1:16" s="141" customFormat="1" ht="13.5" thickBot="1">
      <c r="A246" s="134"/>
      <c r="B246" s="127"/>
      <c r="C246" s="127" t="s">
        <v>14</v>
      </c>
      <c r="D246" s="128"/>
      <c r="E246" s="128"/>
      <c r="F246" s="129"/>
      <c r="G246" s="130">
        <f aca="true" t="shared" si="28" ref="G246:O246">SUM(G236:G245)</f>
        <v>12885</v>
      </c>
      <c r="H246" s="130">
        <f t="shared" si="28"/>
        <v>12254</v>
      </c>
      <c r="I246" s="130">
        <f t="shared" si="28"/>
        <v>11412</v>
      </c>
      <c r="J246" s="130">
        <f t="shared" si="28"/>
        <v>13532</v>
      </c>
      <c r="K246" s="131">
        <f t="shared" si="28"/>
        <v>50083</v>
      </c>
      <c r="L246" s="148">
        <f t="shared" si="28"/>
        <v>1</v>
      </c>
      <c r="M246" s="132"/>
      <c r="N246" s="132"/>
      <c r="O246" s="133">
        <f t="shared" si="28"/>
        <v>1</v>
      </c>
      <c r="P246" s="133"/>
    </row>
    <row r="247" spans="1:14" s="112" customFormat="1" ht="11.25" thickBot="1">
      <c r="A247" s="123"/>
      <c r="B247" s="108"/>
      <c r="C247" s="108"/>
      <c r="D247" s="109"/>
      <c r="E247" s="109"/>
      <c r="F247" s="124"/>
      <c r="H247" s="110"/>
      <c r="I247" s="110"/>
      <c r="J247" s="110"/>
      <c r="K247" s="125"/>
      <c r="L247" s="111"/>
      <c r="M247" s="111"/>
      <c r="N247" s="111"/>
    </row>
    <row r="248" spans="1:16" ht="10.5">
      <c r="A248" s="113" t="s">
        <v>224</v>
      </c>
      <c r="B248" s="114"/>
      <c r="C248" s="114"/>
      <c r="D248" s="115"/>
      <c r="E248" s="115"/>
      <c r="F248" s="116"/>
      <c r="G248" s="110"/>
      <c r="H248" s="110"/>
      <c r="I248" s="110"/>
      <c r="J248" s="110"/>
      <c r="K248" s="125"/>
      <c r="L248" s="111"/>
      <c r="M248" s="111"/>
      <c r="N248" s="111"/>
      <c r="O248" s="112"/>
      <c r="P248" s="112"/>
    </row>
    <row r="249" spans="1:16" ht="10.5">
      <c r="A249" s="117"/>
      <c r="B249" s="108" t="s">
        <v>225</v>
      </c>
      <c r="C249" s="108"/>
      <c r="D249" s="109"/>
      <c r="E249" s="109"/>
      <c r="F249" s="118"/>
      <c r="G249" s="110"/>
      <c r="H249" s="110"/>
      <c r="I249" s="110"/>
      <c r="J249" s="110"/>
      <c r="K249" s="125"/>
      <c r="L249" s="111"/>
      <c r="M249" s="111"/>
      <c r="N249" s="111"/>
      <c r="O249" s="112"/>
      <c r="P249" s="112"/>
    </row>
    <row r="250" spans="1:16" ht="11.25" thickBot="1">
      <c r="A250" s="119"/>
      <c r="B250" s="120" t="s">
        <v>226</v>
      </c>
      <c r="C250" s="120"/>
      <c r="D250" s="121"/>
      <c r="E250" s="121"/>
      <c r="F250" s="122"/>
      <c r="G250" s="110"/>
      <c r="H250" s="110"/>
      <c r="I250" s="110"/>
      <c r="J250" s="110"/>
      <c r="K250" s="125"/>
      <c r="L250" s="111"/>
      <c r="M250" s="111"/>
      <c r="N250" s="111"/>
      <c r="O250" s="112"/>
      <c r="P250" s="112"/>
    </row>
    <row r="251" spans="1:16" s="112" customFormat="1" ht="12.75">
      <c r="A251" s="135"/>
      <c r="B251" s="108"/>
      <c r="C251" s="108"/>
      <c r="D251" s="109"/>
      <c r="E251" s="109"/>
      <c r="F251" s="124"/>
      <c r="G251" s="110"/>
      <c r="H251" s="110"/>
      <c r="I251" s="110"/>
      <c r="J251" s="110"/>
      <c r="K251" s="125"/>
      <c r="L251" s="111"/>
      <c r="M251" s="111"/>
      <c r="N251" s="111"/>
      <c r="O251" s="136"/>
      <c r="P251" s="136"/>
    </row>
    <row r="252" spans="1:20" s="4" customFormat="1" ht="12.75">
      <c r="A252" s="137" t="s">
        <v>243</v>
      </c>
      <c r="B252" s="2"/>
      <c r="C252" s="138"/>
      <c r="D252" s="139"/>
      <c r="E252" s="86" t="s">
        <v>28</v>
      </c>
      <c r="F252" s="5" t="s">
        <v>29</v>
      </c>
      <c r="G252" s="139"/>
      <c r="H252" s="140"/>
      <c r="I252" s="140"/>
      <c r="J252" s="48"/>
      <c r="K252" s="86"/>
      <c r="L252" s="5"/>
      <c r="M252" s="5"/>
      <c r="Q252" s="77"/>
      <c r="R252" s="77"/>
      <c r="S252" s="77"/>
      <c r="T252" s="77"/>
    </row>
    <row r="253" spans="1:14" ht="12.75">
      <c r="A253" s="126"/>
      <c r="C253" s="126" t="s">
        <v>242</v>
      </c>
      <c r="D253"/>
      <c r="E253" s="66" t="s">
        <v>31</v>
      </c>
      <c r="F253" s="62" t="s">
        <v>32</v>
      </c>
      <c r="G253"/>
      <c r="H253" s="49"/>
      <c r="I253" s="49"/>
      <c r="L253" s="9"/>
      <c r="M253" s="9"/>
      <c r="N253" s="9"/>
    </row>
    <row r="254" spans="3:14" ht="12.75">
      <c r="C254" s="103"/>
      <c r="D254"/>
      <c r="E254" s="30" t="s">
        <v>227</v>
      </c>
      <c r="F254" s="25" t="s">
        <v>228</v>
      </c>
      <c r="G254"/>
      <c r="H254" s="49"/>
      <c r="I254" s="49"/>
      <c r="J254" s="49"/>
      <c r="L254" s="9"/>
      <c r="M254" s="9"/>
      <c r="N254" s="9"/>
    </row>
    <row r="255" spans="1:14" ht="10.5">
      <c r="A255" s="1" t="s">
        <v>18</v>
      </c>
      <c r="B255" s="2" t="s">
        <v>19</v>
      </c>
      <c r="C255" s="2" t="s">
        <v>20</v>
      </c>
      <c r="D255" s="3" t="s">
        <v>21</v>
      </c>
      <c r="E255" s="3" t="s">
        <v>22</v>
      </c>
      <c r="F255" s="33" t="s">
        <v>23</v>
      </c>
      <c r="G255" s="4" t="s">
        <v>24</v>
      </c>
      <c r="H255" s="48" t="s">
        <v>25</v>
      </c>
      <c r="I255" s="48" t="s">
        <v>26</v>
      </c>
      <c r="J255" s="48" t="s">
        <v>27</v>
      </c>
      <c r="K255" s="86" t="s">
        <v>28</v>
      </c>
      <c r="L255" s="5" t="s">
        <v>29</v>
      </c>
      <c r="M255" s="5"/>
      <c r="N255" s="5"/>
    </row>
    <row r="256" spans="1:14" ht="10.5">
      <c r="A256" s="56"/>
      <c r="B256" s="57"/>
      <c r="C256" s="57"/>
      <c r="D256" s="58"/>
      <c r="E256" s="58"/>
      <c r="F256" s="59" t="s">
        <v>30</v>
      </c>
      <c r="G256" s="60" t="s">
        <v>31</v>
      </c>
      <c r="H256" s="61" t="s">
        <v>31</v>
      </c>
      <c r="I256" s="61" t="s">
        <v>31</v>
      </c>
      <c r="J256" s="61" t="s">
        <v>31</v>
      </c>
      <c r="K256" s="66" t="s">
        <v>31</v>
      </c>
      <c r="L256" s="62" t="s">
        <v>32</v>
      </c>
      <c r="M256" s="62"/>
      <c r="N256" s="62"/>
    </row>
    <row r="257" spans="1:12" ht="10.5">
      <c r="A257" s="6" t="s">
        <v>103</v>
      </c>
      <c r="B257" s="7" t="s">
        <v>104</v>
      </c>
      <c r="C257" s="99" t="s">
        <v>105</v>
      </c>
      <c r="D257" s="8" t="s">
        <v>40</v>
      </c>
      <c r="E257" s="8">
        <v>8</v>
      </c>
      <c r="F257" s="34">
        <v>5389.9953</v>
      </c>
      <c r="G257" s="30">
        <v>1461</v>
      </c>
      <c r="H257" s="30">
        <v>1530</v>
      </c>
      <c r="I257" s="30">
        <v>1159</v>
      </c>
      <c r="J257" s="30">
        <v>1159</v>
      </c>
      <c r="K257" s="65">
        <v>5309</v>
      </c>
      <c r="L257" s="49">
        <v>4382.11</v>
      </c>
    </row>
    <row r="258" spans="1:12" ht="10.5">
      <c r="A258" s="6" t="s">
        <v>119</v>
      </c>
      <c r="B258" s="7" t="s">
        <v>119</v>
      </c>
      <c r="C258" s="99" t="s">
        <v>120</v>
      </c>
      <c r="D258" s="8" t="s">
        <v>36</v>
      </c>
      <c r="E258" s="31">
        <v>8</v>
      </c>
      <c r="F258" s="34">
        <v>5900.0025</v>
      </c>
      <c r="G258" s="9">
        <v>992</v>
      </c>
      <c r="H258" s="30">
        <v>936</v>
      </c>
      <c r="I258" s="30">
        <v>912</v>
      </c>
      <c r="J258" s="30">
        <v>941</v>
      </c>
      <c r="K258" s="65">
        <v>3781</v>
      </c>
      <c r="L258" s="49">
        <v>4796.75</v>
      </c>
    </row>
    <row r="259" spans="1:12" ht="10.5">
      <c r="A259" s="6" t="s">
        <v>119</v>
      </c>
      <c r="B259" s="7" t="s">
        <v>119</v>
      </c>
      <c r="C259" s="99" t="s">
        <v>121</v>
      </c>
      <c r="D259" s="8" t="s">
        <v>38</v>
      </c>
      <c r="E259" s="31">
        <v>8</v>
      </c>
      <c r="F259" s="34">
        <v>6299.9985</v>
      </c>
      <c r="G259" s="9">
        <v>837</v>
      </c>
      <c r="H259" s="30">
        <v>1028</v>
      </c>
      <c r="I259" s="30">
        <v>705</v>
      </c>
      <c r="J259" s="30">
        <v>967</v>
      </c>
      <c r="K259" s="65">
        <v>3537</v>
      </c>
      <c r="L259" s="49">
        <v>5121.95</v>
      </c>
    </row>
    <row r="260" spans="1:12" ht="10.5">
      <c r="A260" s="6" t="s">
        <v>103</v>
      </c>
      <c r="B260" s="7" t="s">
        <v>104</v>
      </c>
      <c r="C260" s="99" t="s">
        <v>106</v>
      </c>
      <c r="D260" s="8" t="s">
        <v>36</v>
      </c>
      <c r="E260" s="8">
        <v>8</v>
      </c>
      <c r="F260" s="34">
        <v>5389.9953</v>
      </c>
      <c r="G260" s="30">
        <v>1044</v>
      </c>
      <c r="H260" s="30">
        <v>842</v>
      </c>
      <c r="I260" s="30">
        <v>795</v>
      </c>
      <c r="J260" s="30">
        <v>804</v>
      </c>
      <c r="K260" s="65">
        <v>3485</v>
      </c>
      <c r="L260" s="49">
        <v>4382.11</v>
      </c>
    </row>
    <row r="261" spans="1:12" ht="10.5">
      <c r="A261" s="6" t="s">
        <v>49</v>
      </c>
      <c r="B261" s="7" t="s">
        <v>157</v>
      </c>
      <c r="C261" s="99" t="s">
        <v>158</v>
      </c>
      <c r="D261" s="8" t="s">
        <v>36</v>
      </c>
      <c r="E261" s="8">
        <v>8</v>
      </c>
      <c r="F261" s="34">
        <v>5950.0019999999995</v>
      </c>
      <c r="G261" s="9">
        <v>627</v>
      </c>
      <c r="H261" s="30">
        <v>645</v>
      </c>
      <c r="I261" s="30">
        <v>473</v>
      </c>
      <c r="J261" s="30">
        <v>515</v>
      </c>
      <c r="K261" s="65">
        <v>2260</v>
      </c>
      <c r="L261" s="49">
        <v>4837.4</v>
      </c>
    </row>
    <row r="262" spans="1:12" ht="10.5">
      <c r="A262" s="6" t="s">
        <v>49</v>
      </c>
      <c r="B262" s="7" t="s">
        <v>157</v>
      </c>
      <c r="C262" s="99" t="s">
        <v>159</v>
      </c>
      <c r="D262" s="8" t="s">
        <v>38</v>
      </c>
      <c r="E262" s="8">
        <v>8</v>
      </c>
      <c r="F262" s="34">
        <v>5399.7</v>
      </c>
      <c r="G262" s="9">
        <v>506</v>
      </c>
      <c r="H262" s="30">
        <v>528</v>
      </c>
      <c r="I262" s="30">
        <v>418</v>
      </c>
      <c r="J262" s="30">
        <v>588</v>
      </c>
      <c r="K262" s="65">
        <v>2040</v>
      </c>
      <c r="L262" s="49">
        <v>4390</v>
      </c>
    </row>
    <row r="263" spans="1:12" ht="10.5">
      <c r="A263" s="6" t="s">
        <v>119</v>
      </c>
      <c r="B263" s="7" t="s">
        <v>119</v>
      </c>
      <c r="C263" s="165" t="s">
        <v>122</v>
      </c>
      <c r="D263" s="8" t="s">
        <v>36</v>
      </c>
      <c r="E263" s="31">
        <v>8</v>
      </c>
      <c r="F263" s="34">
        <v>6200</v>
      </c>
      <c r="G263" s="9">
        <v>242</v>
      </c>
      <c r="H263" s="30">
        <v>413</v>
      </c>
      <c r="I263" s="30">
        <v>514</v>
      </c>
      <c r="J263" s="30">
        <v>578</v>
      </c>
      <c r="K263" s="65">
        <v>1747</v>
      </c>
      <c r="L263" s="49">
        <v>5041</v>
      </c>
    </row>
    <row r="264" spans="1:12" ht="10.5">
      <c r="A264" s="6" t="s">
        <v>82</v>
      </c>
      <c r="B264" s="7" t="s">
        <v>83</v>
      </c>
      <c r="C264" s="99" t="s">
        <v>84</v>
      </c>
      <c r="D264" s="8" t="s">
        <v>36</v>
      </c>
      <c r="E264" s="31">
        <v>8</v>
      </c>
      <c r="F264" s="34">
        <v>5339.43</v>
      </c>
      <c r="G264" s="9">
        <v>580</v>
      </c>
      <c r="H264" s="30">
        <v>435</v>
      </c>
      <c r="I264" s="30">
        <v>250</v>
      </c>
      <c r="J264" s="10">
        <v>245</v>
      </c>
      <c r="K264" s="65">
        <v>1510</v>
      </c>
      <c r="L264" s="49">
        <v>4341</v>
      </c>
    </row>
    <row r="265" spans="1:12" ht="10.5">
      <c r="A265" s="6" t="s">
        <v>33</v>
      </c>
      <c r="B265" s="7" t="s">
        <v>34</v>
      </c>
      <c r="C265" s="99" t="s">
        <v>35</v>
      </c>
      <c r="D265" s="8" t="s">
        <v>36</v>
      </c>
      <c r="E265" s="31">
        <v>8</v>
      </c>
      <c r="F265" s="34">
        <v>4907.7</v>
      </c>
      <c r="G265" s="9">
        <v>321</v>
      </c>
      <c r="H265" s="30">
        <v>389</v>
      </c>
      <c r="I265" s="9">
        <v>367</v>
      </c>
      <c r="J265" s="30">
        <v>347</v>
      </c>
      <c r="K265" s="65">
        <v>1424</v>
      </c>
      <c r="L265" s="49">
        <v>3990</v>
      </c>
    </row>
    <row r="266" spans="1:12" ht="10.5">
      <c r="A266" s="6" t="s">
        <v>103</v>
      </c>
      <c r="B266" s="7" t="s">
        <v>104</v>
      </c>
      <c r="C266" s="99" t="s">
        <v>107</v>
      </c>
      <c r="D266" s="8" t="s">
        <v>36</v>
      </c>
      <c r="E266" s="31">
        <v>8</v>
      </c>
      <c r="F266" s="34">
        <v>6100.0005</v>
      </c>
      <c r="G266" s="30">
        <v>491</v>
      </c>
      <c r="H266" s="30">
        <v>364</v>
      </c>
      <c r="I266" s="30">
        <v>291</v>
      </c>
      <c r="J266" s="30">
        <v>235</v>
      </c>
      <c r="K266" s="65">
        <v>1381</v>
      </c>
      <c r="L266" s="49">
        <v>4959.35</v>
      </c>
    </row>
    <row r="267" spans="1:12" ht="10.5">
      <c r="A267" s="6" t="s">
        <v>103</v>
      </c>
      <c r="B267" s="7" t="s">
        <v>104</v>
      </c>
      <c r="C267" s="99" t="s">
        <v>109</v>
      </c>
      <c r="D267" s="8" t="s">
        <v>40</v>
      </c>
      <c r="E267" s="31">
        <v>8</v>
      </c>
      <c r="F267" s="34">
        <v>6599.9955</v>
      </c>
      <c r="G267" s="30">
        <v>436</v>
      </c>
      <c r="H267" s="30">
        <v>345</v>
      </c>
      <c r="I267" s="30">
        <v>235</v>
      </c>
      <c r="J267" s="30">
        <v>209</v>
      </c>
      <c r="K267" s="65">
        <v>1225</v>
      </c>
      <c r="L267" s="49">
        <v>5365.85</v>
      </c>
    </row>
    <row r="268" spans="1:12" ht="10.5">
      <c r="A268" s="6" t="s">
        <v>103</v>
      </c>
      <c r="B268" s="7" t="s">
        <v>104</v>
      </c>
      <c r="C268" s="99" t="s">
        <v>108</v>
      </c>
      <c r="D268" s="8" t="s">
        <v>36</v>
      </c>
      <c r="E268" s="31">
        <v>8</v>
      </c>
      <c r="F268" s="34">
        <v>6239.9991</v>
      </c>
      <c r="G268" s="30">
        <v>405</v>
      </c>
      <c r="H268" s="30">
        <v>266</v>
      </c>
      <c r="I268" s="30">
        <v>242</v>
      </c>
      <c r="J268" s="30">
        <v>199</v>
      </c>
      <c r="K268" s="65">
        <v>1112</v>
      </c>
      <c r="L268" s="49">
        <v>5073.17</v>
      </c>
    </row>
    <row r="269" spans="1:12" ht="10.5">
      <c r="A269" s="6" t="s">
        <v>82</v>
      </c>
      <c r="B269" s="7" t="s">
        <v>83</v>
      </c>
      <c r="C269" s="99" t="s">
        <v>85</v>
      </c>
      <c r="D269" s="8" t="s">
        <v>40</v>
      </c>
      <c r="E269" s="8">
        <v>8</v>
      </c>
      <c r="F269" s="34">
        <v>5339.43</v>
      </c>
      <c r="G269" s="9">
        <v>211</v>
      </c>
      <c r="H269" s="30">
        <v>304</v>
      </c>
      <c r="I269" s="30">
        <v>272</v>
      </c>
      <c r="J269" s="10">
        <v>176</v>
      </c>
      <c r="K269" s="65">
        <v>963</v>
      </c>
      <c r="L269" s="49">
        <v>4341</v>
      </c>
    </row>
    <row r="270" spans="1:12" ht="10.5">
      <c r="A270" s="6" t="s">
        <v>68</v>
      </c>
      <c r="B270" s="7" t="s">
        <v>72</v>
      </c>
      <c r="C270" s="164" t="s">
        <v>75</v>
      </c>
      <c r="D270" s="8" t="s">
        <v>36</v>
      </c>
      <c r="E270" s="18">
        <v>8</v>
      </c>
      <c r="F270" s="34">
        <v>5399.995199999999</v>
      </c>
      <c r="G270" s="9">
        <v>258</v>
      </c>
      <c r="H270" s="30">
        <v>196</v>
      </c>
      <c r="I270" s="30">
        <v>212</v>
      </c>
      <c r="J270" s="30">
        <v>215</v>
      </c>
      <c r="K270" s="65">
        <v>881</v>
      </c>
      <c r="L270" s="49">
        <v>4390.24</v>
      </c>
    </row>
    <row r="271" spans="1:12" ht="10.5">
      <c r="A271" s="6" t="s">
        <v>68</v>
      </c>
      <c r="B271" s="7" t="s">
        <v>72</v>
      </c>
      <c r="C271" s="163" t="s">
        <v>74</v>
      </c>
      <c r="D271" s="8" t="s">
        <v>36</v>
      </c>
      <c r="E271" s="18">
        <v>8</v>
      </c>
      <c r="F271" s="34">
        <v>5399.995199999999</v>
      </c>
      <c r="G271" s="9">
        <v>205</v>
      </c>
      <c r="H271" s="30">
        <v>236</v>
      </c>
      <c r="I271" s="30">
        <v>229</v>
      </c>
      <c r="J271" s="30">
        <v>205</v>
      </c>
      <c r="K271" s="65">
        <v>875</v>
      </c>
      <c r="L271" s="49">
        <v>4390.24</v>
      </c>
    </row>
    <row r="272" spans="1:12" ht="10.5">
      <c r="A272" s="170" t="s">
        <v>175</v>
      </c>
      <c r="B272" s="171" t="s">
        <v>175</v>
      </c>
      <c r="C272" s="172" t="s">
        <v>177</v>
      </c>
      <c r="D272" s="173" t="s">
        <v>40</v>
      </c>
      <c r="E272" s="40" t="s">
        <v>124</v>
      </c>
      <c r="F272" s="34">
        <v>6150</v>
      </c>
      <c r="G272" s="166"/>
      <c r="H272" s="168"/>
      <c r="I272" s="168">
        <v>253</v>
      </c>
      <c r="J272" s="168">
        <v>520</v>
      </c>
      <c r="K272" s="174">
        <v>773</v>
      </c>
      <c r="L272" s="175">
        <v>5000</v>
      </c>
    </row>
    <row r="273" spans="1:12" ht="10.5">
      <c r="A273" s="6" t="s">
        <v>175</v>
      </c>
      <c r="B273" s="7" t="s">
        <v>175</v>
      </c>
      <c r="C273" s="99" t="s">
        <v>176</v>
      </c>
      <c r="D273" s="8" t="s">
        <v>36</v>
      </c>
      <c r="E273" s="40" t="s">
        <v>124</v>
      </c>
      <c r="F273" s="34">
        <v>5990.1</v>
      </c>
      <c r="G273" s="166">
        <v>0</v>
      </c>
      <c r="H273" s="168">
        <v>168</v>
      </c>
      <c r="I273" s="30">
        <v>321</v>
      </c>
      <c r="J273" s="168">
        <v>262</v>
      </c>
      <c r="K273" s="65">
        <v>751</v>
      </c>
      <c r="L273" s="49">
        <v>4870</v>
      </c>
    </row>
    <row r="274" spans="1:12" ht="10.5">
      <c r="A274" s="6" t="s">
        <v>134</v>
      </c>
      <c r="B274" s="7" t="s">
        <v>134</v>
      </c>
      <c r="C274" s="165" t="s">
        <v>142</v>
      </c>
      <c r="D274" s="8" t="s">
        <v>36</v>
      </c>
      <c r="E274" s="8">
        <v>8</v>
      </c>
      <c r="F274" s="34">
        <v>6099.57</v>
      </c>
      <c r="G274" s="9">
        <v>13</v>
      </c>
      <c r="H274" s="30">
        <v>134</v>
      </c>
      <c r="I274" s="30">
        <v>204</v>
      </c>
      <c r="J274" s="30">
        <v>391</v>
      </c>
      <c r="K274" s="65">
        <v>742</v>
      </c>
      <c r="L274" s="10">
        <v>4959</v>
      </c>
    </row>
    <row r="275" spans="1:12" ht="10.5">
      <c r="A275" s="6" t="s">
        <v>82</v>
      </c>
      <c r="B275" s="7" t="s">
        <v>83</v>
      </c>
      <c r="C275" s="99" t="s">
        <v>86</v>
      </c>
      <c r="D275" s="8" t="s">
        <v>38</v>
      </c>
      <c r="E275" s="18">
        <v>8</v>
      </c>
      <c r="F275" s="34">
        <v>5339.43</v>
      </c>
      <c r="H275" s="30">
        <v>145</v>
      </c>
      <c r="I275" s="30">
        <v>205</v>
      </c>
      <c r="J275" s="10">
        <v>391</v>
      </c>
      <c r="K275" s="65">
        <v>741</v>
      </c>
      <c r="L275" s="49">
        <v>4341</v>
      </c>
    </row>
    <row r="276" spans="1:12" ht="10.5">
      <c r="A276" s="6" t="s">
        <v>68</v>
      </c>
      <c r="B276" s="7" t="s">
        <v>72</v>
      </c>
      <c r="C276" s="99" t="s">
        <v>73</v>
      </c>
      <c r="D276" s="8" t="s">
        <v>40</v>
      </c>
      <c r="E276" s="18">
        <v>8</v>
      </c>
      <c r="F276" s="34">
        <v>6599.9955</v>
      </c>
      <c r="G276" s="9">
        <v>82</v>
      </c>
      <c r="H276" s="30">
        <v>61</v>
      </c>
      <c r="I276" s="30">
        <v>244</v>
      </c>
      <c r="J276" s="30">
        <v>294</v>
      </c>
      <c r="K276" s="65">
        <v>681</v>
      </c>
      <c r="L276" s="49">
        <v>5365.85</v>
      </c>
    </row>
    <row r="277" spans="3:12" ht="10.5">
      <c r="C277" s="99"/>
      <c r="D277" s="41"/>
      <c r="E277" s="41"/>
      <c r="G277" s="166"/>
      <c r="H277" s="52"/>
      <c r="I277" s="151"/>
      <c r="J277" s="168"/>
      <c r="L277" s="155"/>
    </row>
    <row r="278" spans="3:12" ht="10.5">
      <c r="C278" s="99"/>
      <c r="G278" s="166"/>
      <c r="H278" s="168"/>
      <c r="J278" s="168"/>
      <c r="L278" s="154"/>
    </row>
    <row r="279" spans="3:12" ht="10.5">
      <c r="C279" s="99"/>
      <c r="E279" s="31"/>
      <c r="I279" s="9"/>
      <c r="L279" s="49"/>
    </row>
    <row r="280" ht="10.5">
      <c r="C280" s="165"/>
    </row>
    <row r="281" spans="3:17" ht="10.5">
      <c r="C281" s="99"/>
      <c r="H281" s="9"/>
      <c r="L281" s="49"/>
      <c r="Q281" s="101"/>
    </row>
    <row r="282" spans="3:12" ht="10.5">
      <c r="C282" s="99"/>
      <c r="H282" s="9"/>
      <c r="L282" s="49"/>
    </row>
    <row r="283" spans="3:12" ht="10.5">
      <c r="C283" s="99"/>
      <c r="E283" s="31"/>
      <c r="L283" s="49"/>
    </row>
    <row r="284" spans="3:12" ht="10.5">
      <c r="C284" s="99"/>
      <c r="G284" s="30"/>
      <c r="L284" s="49"/>
    </row>
    <row r="285" ht="10.5">
      <c r="C285" s="165"/>
    </row>
    <row r="286" spans="3:12" ht="10.5">
      <c r="C286" s="99"/>
      <c r="E286" s="31"/>
      <c r="L286" s="49"/>
    </row>
    <row r="287" spans="3:12" ht="10.5">
      <c r="C287" s="99"/>
      <c r="H287" s="9"/>
      <c r="L287" s="49"/>
    </row>
    <row r="288" spans="3:12" ht="10.5">
      <c r="C288" s="99"/>
      <c r="L288" s="49"/>
    </row>
    <row r="289" spans="3:12" ht="10.5">
      <c r="C289" s="99"/>
      <c r="F289" s="11"/>
      <c r="G289" s="166"/>
      <c r="H289" s="169"/>
      <c r="I289" s="151"/>
      <c r="J289" s="168"/>
      <c r="K289" s="152"/>
      <c r="L289" s="151"/>
    </row>
    <row r="290" spans="3:12" ht="10.5">
      <c r="C290" s="99"/>
      <c r="E290" s="31"/>
      <c r="G290" s="166"/>
      <c r="H290" s="168"/>
      <c r="J290" s="168"/>
      <c r="L290" s="154"/>
    </row>
    <row r="291" spans="3:12" ht="10.5">
      <c r="C291" s="99"/>
      <c r="L291" s="49"/>
    </row>
    <row r="292" spans="3:12" ht="10.5">
      <c r="C292" s="99"/>
      <c r="E292" s="18"/>
      <c r="J292" s="10"/>
      <c r="L292" s="49"/>
    </row>
    <row r="293" spans="3:12" ht="10.5">
      <c r="C293" s="99"/>
      <c r="E293" s="31"/>
      <c r="I293" s="9"/>
      <c r="L293" s="49"/>
    </row>
    <row r="294" spans="5:12" ht="10.5">
      <c r="E294" s="31"/>
      <c r="H294" s="9"/>
      <c r="I294" s="9"/>
      <c r="J294" s="9"/>
      <c r="K294" s="152"/>
      <c r="L294" s="32"/>
    </row>
    <row r="295" spans="3:12" ht="10.5">
      <c r="C295" s="99"/>
      <c r="E295" s="31"/>
      <c r="L295" s="49"/>
    </row>
    <row r="296" spans="3:12" ht="10.5">
      <c r="C296" s="165"/>
      <c r="L296" s="49"/>
    </row>
    <row r="297" spans="3:12" ht="10.5">
      <c r="C297" s="99"/>
      <c r="E297" s="31"/>
      <c r="L297" s="49"/>
    </row>
    <row r="298" spans="3:12" ht="10.5">
      <c r="C298" s="99"/>
      <c r="E298" s="31"/>
      <c r="G298" s="30"/>
      <c r="L298" s="49"/>
    </row>
    <row r="299" spans="3:12" ht="10.5">
      <c r="C299" s="99"/>
      <c r="E299" s="31"/>
      <c r="I299" s="9"/>
      <c r="L299" s="49"/>
    </row>
    <row r="300" spans="3:17" ht="10.5">
      <c r="C300" s="99"/>
      <c r="E300" s="18"/>
      <c r="L300" s="49"/>
      <c r="Q300" s="101"/>
    </row>
    <row r="301" spans="3:12" ht="10.5">
      <c r="C301" s="99"/>
      <c r="J301" s="25"/>
      <c r="L301" s="49"/>
    </row>
    <row r="302" spans="3:12" ht="10.5">
      <c r="C302" s="99"/>
      <c r="E302" s="31"/>
      <c r="G302" s="30"/>
      <c r="L302" s="49"/>
    </row>
    <row r="303" spans="3:12" ht="10.5">
      <c r="C303" s="99"/>
      <c r="E303" s="31"/>
      <c r="G303" s="30"/>
      <c r="L303" s="49"/>
    </row>
    <row r="304" spans="3:12" ht="10.5">
      <c r="C304" s="144"/>
      <c r="E304" s="31"/>
      <c r="G304" s="30"/>
      <c r="L304" s="49"/>
    </row>
    <row r="305" spans="3:12" ht="10.5">
      <c r="C305" s="99"/>
      <c r="E305" s="31"/>
      <c r="L305" s="49"/>
    </row>
    <row r="306" spans="3:12" ht="10.5">
      <c r="C306" s="99"/>
      <c r="L306" s="49"/>
    </row>
    <row r="307" spans="3:12" ht="10.5">
      <c r="C307" s="99"/>
      <c r="E307" s="31"/>
      <c r="J307" s="25"/>
      <c r="L307" s="49"/>
    </row>
    <row r="308" spans="3:12" ht="10.5">
      <c r="C308" s="99"/>
      <c r="J308" s="10"/>
      <c r="L308" s="49"/>
    </row>
    <row r="309" spans="3:12" ht="10.5">
      <c r="C309" s="99"/>
      <c r="L309" s="49"/>
    </row>
    <row r="310" spans="3:12" ht="10.5">
      <c r="C310" s="99"/>
      <c r="E310" s="31"/>
      <c r="J310" s="25"/>
      <c r="L310" s="49"/>
    </row>
    <row r="311" spans="3:12" ht="10.5">
      <c r="C311" s="99"/>
      <c r="E311" s="31"/>
      <c r="J311" s="25"/>
      <c r="L311" s="49"/>
    </row>
    <row r="312" spans="3:12" ht="10.5">
      <c r="C312" s="99"/>
      <c r="L312" s="49"/>
    </row>
    <row r="313" spans="3:12" ht="10.5">
      <c r="C313" s="99"/>
      <c r="L313" s="49"/>
    </row>
    <row r="314" spans="3:12" ht="10.5">
      <c r="C314" s="99"/>
      <c r="L314" s="49"/>
    </row>
    <row r="315" spans="3:12" ht="10.5">
      <c r="C315" s="99"/>
      <c r="E315" s="31"/>
      <c r="J315" s="10"/>
      <c r="L315" s="49"/>
    </row>
    <row r="316" spans="3:12" ht="10.5">
      <c r="C316" s="144"/>
      <c r="E316" s="18"/>
      <c r="L316" s="49"/>
    </row>
    <row r="317" spans="3:12" ht="10.5">
      <c r="C317" s="99"/>
      <c r="E317" s="40"/>
      <c r="G317" s="166"/>
      <c r="H317" s="168"/>
      <c r="J317" s="168"/>
      <c r="L317" s="49"/>
    </row>
    <row r="318" spans="3:12" ht="10.5">
      <c r="C318" s="99"/>
      <c r="L318" s="49"/>
    </row>
    <row r="319" spans="3:12" ht="10.5">
      <c r="C319" s="165"/>
      <c r="L319" s="49"/>
    </row>
    <row r="320" spans="3:12" ht="10.5">
      <c r="C320" s="99"/>
      <c r="G320" s="166"/>
      <c r="H320" s="168"/>
      <c r="J320" s="168"/>
      <c r="L320" s="154"/>
    </row>
    <row r="321" spans="3:12" ht="10.5">
      <c r="C321" s="165"/>
      <c r="E321" s="31"/>
      <c r="G321" s="30"/>
      <c r="L321" s="49"/>
    </row>
    <row r="322" spans="3:12" ht="10.5">
      <c r="C322" s="99"/>
      <c r="E322" s="31"/>
      <c r="I322" s="9"/>
      <c r="L322" s="49"/>
    </row>
    <row r="323" spans="3:12" ht="10.5">
      <c r="C323" s="99"/>
      <c r="E323" s="31"/>
      <c r="L323" s="190"/>
    </row>
    <row r="324" spans="1:12" ht="10.5">
      <c r="A324" s="170"/>
      <c r="B324" s="171"/>
      <c r="C324" s="172"/>
      <c r="D324" s="173"/>
      <c r="E324" s="40"/>
      <c r="G324" s="166"/>
      <c r="H324" s="168"/>
      <c r="I324" s="168"/>
      <c r="J324" s="168"/>
      <c r="K324" s="174"/>
      <c r="L324" s="175"/>
    </row>
    <row r="325" spans="3:12" ht="10.5">
      <c r="C325" s="99"/>
      <c r="D325" s="41"/>
      <c r="E325" s="41"/>
      <c r="G325" s="166"/>
      <c r="H325" s="39"/>
      <c r="I325" s="151"/>
      <c r="J325" s="168"/>
      <c r="L325" s="155"/>
    </row>
    <row r="326" spans="3:12" ht="10.5">
      <c r="C326" s="99"/>
      <c r="E326" s="31"/>
      <c r="I326" s="9"/>
      <c r="L326" s="49"/>
    </row>
    <row r="327" spans="3:12" ht="10.5">
      <c r="C327" s="99"/>
      <c r="L327" s="49"/>
    </row>
    <row r="328" spans="3:12" ht="10.5">
      <c r="C328" s="99"/>
      <c r="G328" s="10"/>
      <c r="L328" s="49"/>
    </row>
    <row r="329" spans="3:12" ht="10.5">
      <c r="C329" s="99"/>
      <c r="H329" s="9"/>
      <c r="L329" s="49"/>
    </row>
    <row r="330" spans="3:12" ht="10.5">
      <c r="C330" s="99"/>
      <c r="H330" s="9"/>
      <c r="L330" s="49"/>
    </row>
    <row r="331" spans="3:12" ht="10.5">
      <c r="C331" s="99"/>
      <c r="L331" s="49"/>
    </row>
    <row r="332" spans="3:12" ht="10.5">
      <c r="C332" s="165"/>
      <c r="H332" s="9"/>
      <c r="L332" s="190"/>
    </row>
    <row r="333" spans="3:12" ht="10.5">
      <c r="C333" s="99"/>
      <c r="E333" s="40"/>
      <c r="G333" s="30"/>
      <c r="L333" s="49"/>
    </row>
    <row r="334" spans="1:12" ht="10.5">
      <c r="A334" s="7"/>
      <c r="C334" s="99"/>
      <c r="E334" s="18"/>
      <c r="L334" s="49"/>
    </row>
    <row r="335" spans="1:12" ht="10.5">
      <c r="A335" s="7"/>
      <c r="C335" s="99"/>
      <c r="J335" s="9"/>
      <c r="L335" s="49"/>
    </row>
    <row r="336" spans="1:14" ht="10.5">
      <c r="A336" s="56"/>
      <c r="B336" s="57"/>
      <c r="C336" s="177"/>
      <c r="D336" s="58"/>
      <c r="E336" s="58"/>
      <c r="F336" s="59"/>
      <c r="G336" s="60"/>
      <c r="H336" s="61"/>
      <c r="I336" s="61"/>
      <c r="J336" s="61"/>
      <c r="K336" s="66"/>
      <c r="L336" s="150"/>
      <c r="M336" s="62"/>
      <c r="N336" s="62"/>
    </row>
    <row r="337" spans="1:12" ht="10.5">
      <c r="A337" s="7"/>
      <c r="C337" s="99"/>
      <c r="J337" s="25"/>
      <c r="L337" s="49"/>
    </row>
    <row r="338" spans="1:12" ht="10.5">
      <c r="A338" s="7"/>
      <c r="C338" s="99"/>
      <c r="E338" s="31"/>
      <c r="J338" s="10"/>
      <c r="L338" s="49"/>
    </row>
    <row r="339" spans="1:12" ht="10.5">
      <c r="A339" s="7"/>
      <c r="C339" s="144"/>
      <c r="L339" s="64"/>
    </row>
    <row r="340" spans="1:12" ht="10.5">
      <c r="A340" s="7"/>
      <c r="C340" s="99"/>
      <c r="E340" s="31"/>
      <c r="G340" s="30"/>
      <c r="J340" s="176"/>
      <c r="L340" s="49"/>
    </row>
    <row r="341" spans="1:12" ht="10.5">
      <c r="A341" s="7"/>
      <c r="C341" s="99"/>
      <c r="E341" s="31"/>
      <c r="J341" s="10"/>
      <c r="L341" s="49"/>
    </row>
    <row r="342" spans="1:12" ht="10.5">
      <c r="A342" s="7"/>
      <c r="C342" s="99"/>
      <c r="L342" s="49"/>
    </row>
    <row r="343" spans="1:12" ht="10.5">
      <c r="A343" s="7"/>
      <c r="C343" s="144"/>
      <c r="L343" s="49"/>
    </row>
    <row r="344" spans="1:12" ht="10.5">
      <c r="A344" s="7"/>
      <c r="L344" s="49"/>
    </row>
    <row r="345" spans="1:12" ht="10.5">
      <c r="A345" s="7"/>
      <c r="C345" s="99"/>
      <c r="J345" s="25"/>
      <c r="L345" s="49"/>
    </row>
    <row r="346" spans="1:12" ht="10.5">
      <c r="A346" s="7"/>
      <c r="C346" s="165"/>
      <c r="H346" s="9"/>
      <c r="L346" s="190"/>
    </row>
    <row r="347" spans="1:12" ht="10.5">
      <c r="A347" s="7"/>
      <c r="C347" s="99"/>
      <c r="L347" s="49"/>
    </row>
    <row r="348" spans="1:12" ht="10.5">
      <c r="A348" s="7"/>
      <c r="C348" s="99"/>
      <c r="L348" s="49"/>
    </row>
    <row r="349" spans="1:12" ht="10.5">
      <c r="A349" s="7"/>
      <c r="C349" s="99"/>
      <c r="J349" s="25"/>
      <c r="L349" s="49"/>
    </row>
    <row r="350" spans="1:12" ht="10.5">
      <c r="A350" s="7"/>
      <c r="C350" s="99"/>
      <c r="E350" s="31"/>
      <c r="G350" s="166"/>
      <c r="H350" s="168"/>
      <c r="J350" s="168"/>
      <c r="L350" s="49"/>
    </row>
    <row r="351" spans="1:12" ht="10.5">
      <c r="A351" s="7"/>
      <c r="C351" s="144"/>
      <c r="E351" s="31"/>
      <c r="J351" s="10"/>
      <c r="L351" s="49"/>
    </row>
    <row r="352" spans="3:12" ht="10.5">
      <c r="C352" s="144"/>
      <c r="E352" s="18"/>
      <c r="L352" s="49"/>
    </row>
    <row r="353" spans="3:12" ht="10.5">
      <c r="C353" s="99"/>
      <c r="L353" s="49"/>
    </row>
    <row r="354" spans="3:12" ht="10.5">
      <c r="C354" s="99"/>
      <c r="E354" s="31"/>
      <c r="G354" s="166"/>
      <c r="H354" s="168"/>
      <c r="J354" s="168"/>
      <c r="L354" s="49"/>
    </row>
    <row r="355" spans="3:12" ht="10.5">
      <c r="C355" s="99"/>
      <c r="E355" s="31"/>
      <c r="L355" s="49"/>
    </row>
    <row r="356" spans="3:12" ht="10.5">
      <c r="C356" s="165"/>
      <c r="E356" s="31"/>
      <c r="G356" s="30"/>
      <c r="L356" s="49"/>
    </row>
    <row r="357" spans="3:12" ht="10.5">
      <c r="C357" s="99"/>
      <c r="L357" s="49"/>
    </row>
    <row r="358" spans="3:12" ht="10.5">
      <c r="C358" s="144"/>
      <c r="J358" s="25"/>
      <c r="L358" s="64"/>
    </row>
    <row r="359" spans="3:12" ht="10.5">
      <c r="C359" s="144"/>
      <c r="L359" s="49"/>
    </row>
    <row r="360" spans="3:12" ht="10.5">
      <c r="C360" s="144"/>
      <c r="L360" s="64"/>
    </row>
    <row r="361" spans="3:12" ht="10.5">
      <c r="C361" s="165"/>
      <c r="E361" s="31"/>
      <c r="L361" s="49"/>
    </row>
    <row r="362" spans="3:12" ht="10.5">
      <c r="C362" s="99"/>
      <c r="G362" s="10"/>
      <c r="L362" s="49"/>
    </row>
    <row r="363" spans="3:12" ht="10.5">
      <c r="C363" s="144"/>
      <c r="J363" s="25"/>
      <c r="L363" s="64"/>
    </row>
    <row r="364" spans="3:12" ht="10.5">
      <c r="C364" s="99"/>
      <c r="E364" s="40"/>
      <c r="G364" s="166"/>
      <c r="H364" s="168"/>
      <c r="J364" s="168"/>
      <c r="L364" s="49"/>
    </row>
    <row r="365" spans="3:12" ht="10.5">
      <c r="C365" s="99"/>
      <c r="L365" s="49"/>
    </row>
    <row r="366" spans="1:14" s="141" customFormat="1" ht="10.5">
      <c r="A366" s="6"/>
      <c r="B366" s="7"/>
      <c r="C366" s="99"/>
      <c r="D366" s="8"/>
      <c r="E366" s="31"/>
      <c r="F366" s="34"/>
      <c r="G366" s="166"/>
      <c r="H366" s="168"/>
      <c r="I366" s="30"/>
      <c r="J366" s="168"/>
      <c r="K366" s="65"/>
      <c r="L366" s="49"/>
      <c r="M366" s="10"/>
      <c r="N366" s="10"/>
    </row>
    <row r="367" spans="3:12" ht="10.5">
      <c r="C367" s="99"/>
      <c r="E367" s="18"/>
      <c r="L367" s="49"/>
    </row>
    <row r="368" spans="3:12" ht="10.5">
      <c r="C368" s="99"/>
      <c r="E368" s="31"/>
      <c r="G368" s="30"/>
      <c r="J368" s="176"/>
      <c r="L368" s="49"/>
    </row>
    <row r="369" spans="3:17" ht="10.5">
      <c r="C369" s="99"/>
      <c r="E369" s="40"/>
      <c r="G369" s="166"/>
      <c r="H369" s="168"/>
      <c r="J369" s="168"/>
      <c r="L369" s="49"/>
      <c r="Q369" s="101"/>
    </row>
    <row r="370" spans="3:12" ht="10.5">
      <c r="C370" s="99"/>
      <c r="L370" s="49"/>
    </row>
    <row r="371" spans="3:12" ht="10.5">
      <c r="C371" s="156"/>
      <c r="L371" s="49"/>
    </row>
    <row r="372" spans="3:17" ht="10.5">
      <c r="C372" s="99"/>
      <c r="E372" s="18"/>
      <c r="L372" s="49"/>
      <c r="Q372" s="101"/>
    </row>
    <row r="373" spans="3:12" ht="10.5">
      <c r="C373" s="144"/>
      <c r="E373" s="18"/>
      <c r="L373" s="49"/>
    </row>
    <row r="374" spans="3:12" ht="10.5">
      <c r="C374" s="99"/>
      <c r="J374" s="25"/>
      <c r="L374" s="49"/>
    </row>
    <row r="375" spans="3:12" ht="10.5">
      <c r="C375" s="144"/>
      <c r="G375" s="11"/>
      <c r="H375" s="34"/>
      <c r="I375" s="34"/>
      <c r="J375" s="34"/>
      <c r="L375" s="49"/>
    </row>
    <row r="376" spans="1:12" ht="10.5">
      <c r="A376" s="7"/>
      <c r="C376" s="144"/>
      <c r="E376" s="18"/>
      <c r="L376" s="49"/>
    </row>
    <row r="377" spans="1:12" ht="10.5">
      <c r="A377" s="7"/>
      <c r="C377" s="144"/>
      <c r="E377" s="18"/>
      <c r="L377" s="49"/>
    </row>
    <row r="378" spans="1:12" ht="10.5">
      <c r="A378" s="7"/>
      <c r="L378" s="49"/>
    </row>
    <row r="379" spans="1:12" ht="10.5">
      <c r="A379" s="7"/>
      <c r="C379" s="144"/>
      <c r="L379" s="49"/>
    </row>
    <row r="464" spans="3:12" ht="10.5">
      <c r="C464" s="99"/>
      <c r="L464" s="49"/>
    </row>
  </sheetData>
  <printOptions gridLines="1" horizontalCentered="1"/>
  <pageMargins left="0.33" right="0.2362204724409449" top="0.54" bottom="0.52" header="0.34" footer="0.34"/>
  <pageSetup fitToHeight="0" fitToWidth="1" orientation="portrait" paperSize="9" scale="91" r:id="rId2"/>
  <headerFooter alignWithMargins="0">
    <oddHeader>&amp;C&amp;13Høreapparater fakturert RTV  2000&amp;R&amp;8 04.02.2001 OA
</oddHeader>
    <oddFooter>&amp;C&amp;8&amp;F&amp;R&amp;P av &amp;N</oddFooter>
  </headerFooter>
  <rowBreaks count="1" manualBreakCount="1">
    <brk id="2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leverte høreapparater til RTV</dc:subject>
  <dc:creator>Oddbjørn</dc:creator>
  <cp:keywords/>
  <dc:description/>
  <cp:lastModifiedBy>Oddbjørn Arntsen</cp:lastModifiedBy>
  <cp:lastPrinted>2001-02-05T07:32:16Z</cp:lastPrinted>
  <dcterms:created xsi:type="dcterms:W3CDTF">2001-01-03T21:29:05Z</dcterms:created>
  <dcterms:modified xsi:type="dcterms:W3CDTF">2001-02-05T07:32:25Z</dcterms:modified>
  <cp:category/>
  <cp:version/>
  <cp:contentType/>
  <cp:contentStatus/>
</cp:coreProperties>
</file>