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2821_ØK\Grupper\Gruppe20\Anskaffelse hjelpemidler\Produktområder\08_Høreapp_tinmask\Statistikk\2019\"/>
    </mc:Choice>
  </mc:AlternateContent>
  <bookViews>
    <workbookView xWindow="15" yWindow="60" windowWidth="14265" windowHeight="13080" tabRatio="584"/>
  </bookViews>
  <sheets>
    <sheet name="Høreapparater" sheetId="13" r:id="rId1"/>
    <sheet name="Tinnitusmaskerere" sheetId="11" r:id="rId2"/>
    <sheet name="Reparasjoner" sheetId="8" r:id="rId3"/>
    <sheet name="Propper" sheetId="9" r:id="rId4"/>
    <sheet name="Tilbehør" sheetId="14" r:id="rId5"/>
  </sheets>
  <externalReferences>
    <externalReference r:id="rId6"/>
  </externalReferences>
  <definedNames>
    <definedName name="_1.halvår" localSheetId="4">#REF!</definedName>
    <definedName name="_1.halvår" localSheetId="1">Tinnitusmaskerere!#REF!</definedName>
    <definedName name="_1.halvår">#REF!</definedName>
    <definedName name="_1.kvartal" localSheetId="4">#REF!</definedName>
    <definedName name="_1.kvartal" localSheetId="1">Tinnitusmaskerere!#REF!</definedName>
    <definedName name="_1.kvartal">#REF!</definedName>
    <definedName name="_2.kvartal" localSheetId="4">#REF!</definedName>
    <definedName name="_2.kvartal" localSheetId="1">Tinnitusmaskerere!#REF!</definedName>
    <definedName name="_2.kvartal">#REF!</definedName>
    <definedName name="_3.kvartal" localSheetId="4">#REF!</definedName>
    <definedName name="_3.kvartal" localSheetId="1">Tinnitusmaskerere!#REF!</definedName>
    <definedName name="_3.kvartal">#REF!</definedName>
    <definedName name="_4.kvartal" localSheetId="4">#REF!</definedName>
    <definedName name="_4.kvartal" localSheetId="1">Tinnitusmaskerere!#REF!</definedName>
    <definedName name="_4.kvartal">#REF!</definedName>
    <definedName name="_xlnm._FilterDatabase" localSheetId="0" hidden="1">Høreapparater!$9:$565</definedName>
    <definedName name="_xlnm._FilterDatabase" localSheetId="1" hidden="1">Tinnitusmaskerere!$C$12:$AJ$90</definedName>
    <definedName name="_xlnm.Criteria" localSheetId="1">Tinnitusmaskerere!#REF!</definedName>
    <definedName name="Excel_BuiltIn_Print_Area_3" localSheetId="4">#REF!</definedName>
    <definedName name="Excel_BuiltIn_Print_Area_3">#REF!</definedName>
    <definedName name="Excel_BuiltIn_Print_Titles_1" localSheetId="0">(#REF!,#REF!)</definedName>
    <definedName name="Excel_BuiltIn_Print_Titles_1" localSheetId="4">(#REF!,#REF!)</definedName>
    <definedName name="Excel_BuiltIn_Print_Titles_1">(#REF!,#REF!)</definedName>
    <definedName name="Excel_BuiltIn_Print_Titles_13" localSheetId="0">(#REF!,#REF!)</definedName>
    <definedName name="Excel_BuiltIn_Print_Titles_13">(#REF!,#REF!)</definedName>
    <definedName name="første_halvår" localSheetId="4">#REF!</definedName>
    <definedName name="første_halvår">#REF!</definedName>
    <definedName name="Imp" localSheetId="4">#REF!</definedName>
    <definedName name="Imp" localSheetId="1">Tinnitusmaskerere!#REF!</definedName>
    <definedName name="Imp">#REF!</definedName>
    <definedName name="Kl" localSheetId="4">#REF!</definedName>
    <definedName name="Kl" localSheetId="1">Tinnitusmaskerere!#REF!</definedName>
    <definedName name="Kl">#REF!</definedName>
    <definedName name="Klasse" localSheetId="4">#REF!</definedName>
    <definedName name="Klasse" localSheetId="1">Tinnitusmaskerere!#REF!</definedName>
    <definedName name="Klasse">#REF!</definedName>
    <definedName name="Modell" localSheetId="4">#REF!</definedName>
    <definedName name="Modell" localSheetId="1">Tinnitusmaskerere!#REF!</definedName>
    <definedName name="Modell">#REF!</definedName>
    <definedName name="Print_Title" localSheetId="4">#REF!</definedName>
    <definedName name="Print_Title" localSheetId="1">Tinnitusmaskerere!#REF!</definedName>
    <definedName name="Print_Title">#REF!</definedName>
    <definedName name="Pris" localSheetId="4">#REF!</definedName>
    <definedName name="Pris" localSheetId="1">Tinnitusmaskerere!#REF!</definedName>
    <definedName name="Pris">#REF!</definedName>
    <definedName name="prisgrense" localSheetId="4">[1]Høreapparater!$X$8</definedName>
    <definedName name="prisgrense" localSheetId="1">Tinnitusmaskerere!#REF!</definedName>
    <definedName name="prisgrense">Høreapparater!$X$8</definedName>
    <definedName name="Prisgrense_TM" localSheetId="4">[1]Tinnitusmaskerere!$F$27</definedName>
    <definedName name="Prisgrense_TM">Tinnitusmaskerere!$F$27</definedName>
    <definedName name="PrisgrenseTM" localSheetId="4">[1]Tinnitusmaskerere!#REF!</definedName>
    <definedName name="PrisgrenseTM">Tinnitusmaskerere!#REF!</definedName>
    <definedName name="Prod" localSheetId="4">#REF!</definedName>
    <definedName name="Prod" localSheetId="1">Tinnitusmaskerere!#REF!</definedName>
    <definedName name="Prod">#REF!</definedName>
    <definedName name="Sum" localSheetId="4">#REF!</definedName>
    <definedName name="Sum" localSheetId="1">Tinnitusmaskerere!#REF!</definedName>
    <definedName name="Sum">#REF!</definedName>
    <definedName name="Total" localSheetId="4">#REF!</definedName>
    <definedName name="Total" localSheetId="1">Tinnitusmaskerere!#REF!</definedName>
    <definedName name="Total">#REF!</definedName>
    <definedName name="Type" localSheetId="4">#REF!</definedName>
    <definedName name="Type" localSheetId="1">Tinnitusmaskerere!#REF!</definedName>
    <definedName name="Type">#REF!</definedName>
    <definedName name="_xlnm.Print_Area" localSheetId="0">Høreapparater!$A$3:$X$565</definedName>
    <definedName name="_xlnm.Print_Area" localSheetId="2">Reparasjoner!$A$1:$Q$73</definedName>
    <definedName name="_xlnm.Print_Area" localSheetId="4">Tilbehør!$A$1:$P$122</definedName>
    <definedName name="_xlnm.Print_Area" localSheetId="1">Tinnitusmaskerere!$A$1:$U$90</definedName>
    <definedName name="_xlnm.Print_Titles" localSheetId="0">Høreapparater!$D:$D,Høreapparater!$3:$3</definedName>
    <definedName name="_xlnm.Print_Titles" localSheetId="1">Tinnitusmaskerere!#REF!</definedName>
    <definedName name="_xlnm.Extract" localSheetId="1">Tinnitusmaskerere!#REF!</definedName>
  </definedNames>
  <calcPr calcId="162913"/>
</workbook>
</file>

<file path=xl/calcChain.xml><?xml version="1.0" encoding="utf-8"?>
<calcChain xmlns="http://schemas.openxmlformats.org/spreadsheetml/2006/main">
  <c r="S564" i="13" l="1"/>
  <c r="W555" i="13"/>
  <c r="V555" i="13"/>
  <c r="U555" i="13"/>
  <c r="T555" i="13"/>
  <c r="S555" i="13"/>
  <c r="N555" i="13"/>
  <c r="W563" i="13"/>
  <c r="V563" i="13"/>
  <c r="U563" i="13"/>
  <c r="T563" i="13"/>
  <c r="S563" i="13"/>
  <c r="N563" i="13"/>
  <c r="W558" i="13"/>
  <c r="V558" i="13"/>
  <c r="U558" i="13"/>
  <c r="T558" i="13"/>
  <c r="S558" i="13"/>
  <c r="N558" i="13"/>
  <c r="W561" i="13"/>
  <c r="V561" i="13"/>
  <c r="U561" i="13"/>
  <c r="T561" i="13"/>
  <c r="S561" i="13"/>
  <c r="N561" i="13"/>
  <c r="W557" i="13"/>
  <c r="V557" i="13"/>
  <c r="U557" i="13"/>
  <c r="T557" i="13"/>
  <c r="S557" i="13"/>
  <c r="N557" i="13"/>
  <c r="W559" i="13"/>
  <c r="V559" i="13"/>
  <c r="U559" i="13"/>
  <c r="T559" i="13"/>
  <c r="S559" i="13"/>
  <c r="N559" i="13"/>
  <c r="W560" i="13"/>
  <c r="V560" i="13"/>
  <c r="U560" i="13"/>
  <c r="T560" i="13"/>
  <c r="S560" i="13"/>
  <c r="N560" i="13"/>
  <c r="W562" i="13"/>
  <c r="V562" i="13"/>
  <c r="U562" i="13"/>
  <c r="T562" i="13"/>
  <c r="S562" i="13"/>
  <c r="N562" i="13"/>
  <c r="W556" i="13"/>
  <c r="V556" i="13"/>
  <c r="U556" i="13"/>
  <c r="T556" i="13"/>
  <c r="S556" i="13"/>
  <c r="N556" i="13"/>
  <c r="W554" i="13"/>
  <c r="V554" i="13"/>
  <c r="U554" i="13"/>
  <c r="T554" i="13"/>
  <c r="S554" i="13"/>
  <c r="N554" i="13"/>
  <c r="X560" i="13" l="1"/>
  <c r="X558" i="13"/>
  <c r="X559" i="13"/>
  <c r="X557" i="13"/>
  <c r="X563" i="13"/>
  <c r="X561" i="13"/>
  <c r="X556" i="13"/>
  <c r="X555" i="13"/>
  <c r="X554" i="13"/>
  <c r="X562" i="13"/>
  <c r="N151" i="13" l="1"/>
  <c r="C102" i="14" l="1"/>
  <c r="B102" i="14"/>
  <c r="B16" i="8" l="1"/>
  <c r="B15" i="8"/>
  <c r="B14" i="8"/>
  <c r="B13" i="8"/>
  <c r="K15" i="9"/>
  <c r="K14" i="9"/>
  <c r="J342" i="13" l="1"/>
  <c r="J272" i="13"/>
  <c r="J240" i="13"/>
  <c r="J222" i="13"/>
  <c r="J212" i="13"/>
  <c r="J184" i="13"/>
  <c r="J167" i="13"/>
  <c r="J141" i="13"/>
  <c r="N282" i="13" l="1"/>
  <c r="W318" i="13"/>
  <c r="V318" i="13"/>
  <c r="U318" i="13"/>
  <c r="T318" i="13"/>
  <c r="S318" i="13"/>
  <c r="N318" i="13"/>
  <c r="W315" i="13"/>
  <c r="V315" i="13"/>
  <c r="U315" i="13"/>
  <c r="T315" i="13"/>
  <c r="S315" i="13"/>
  <c r="N315" i="13"/>
  <c r="W305" i="13"/>
  <c r="V305" i="13"/>
  <c r="U305" i="13"/>
  <c r="T305" i="13"/>
  <c r="S305" i="13"/>
  <c r="N305" i="13"/>
  <c r="W300" i="13"/>
  <c r="V300" i="13"/>
  <c r="U300" i="13"/>
  <c r="T300" i="13"/>
  <c r="S300" i="13"/>
  <c r="N300" i="13"/>
  <c r="W258" i="13"/>
  <c r="V258" i="13"/>
  <c r="U258" i="13"/>
  <c r="T258" i="13"/>
  <c r="S258" i="13"/>
  <c r="N258" i="13"/>
  <c r="N255" i="13"/>
  <c r="W255" i="13"/>
  <c r="V255" i="13"/>
  <c r="U255" i="13"/>
  <c r="T255" i="13"/>
  <c r="S255" i="13"/>
  <c r="W251" i="13"/>
  <c r="V251" i="13"/>
  <c r="U251" i="13"/>
  <c r="T251" i="13"/>
  <c r="S251" i="13"/>
  <c r="N251" i="13"/>
  <c r="N196" i="13"/>
  <c r="W196" i="13"/>
  <c r="V196" i="13"/>
  <c r="U196" i="13"/>
  <c r="T196" i="13"/>
  <c r="S196" i="13"/>
  <c r="W151" i="13"/>
  <c r="V151" i="13"/>
  <c r="U151" i="13"/>
  <c r="T151" i="13"/>
  <c r="S151" i="13"/>
  <c r="W153" i="13"/>
  <c r="V153" i="13"/>
  <c r="U153" i="13"/>
  <c r="T153" i="13"/>
  <c r="S153" i="13"/>
  <c r="N153" i="13"/>
  <c r="X258" i="13" l="1"/>
  <c r="X300" i="13"/>
  <c r="X255" i="13"/>
  <c r="X305" i="13"/>
  <c r="X251" i="13"/>
  <c r="X315" i="13"/>
  <c r="X153" i="13"/>
  <c r="X151" i="13"/>
  <c r="X196" i="13"/>
  <c r="X318" i="13"/>
  <c r="K67" i="8" l="1"/>
  <c r="L67" i="8"/>
  <c r="M67" i="8"/>
  <c r="N67" i="8"/>
  <c r="K68" i="8"/>
  <c r="L68" i="8"/>
  <c r="M68" i="8"/>
  <c r="N68" i="8"/>
  <c r="K69" i="8"/>
  <c r="L69" i="8"/>
  <c r="M69" i="8"/>
  <c r="N69" i="8"/>
  <c r="K70" i="8"/>
  <c r="L70" i="8"/>
  <c r="M70" i="8"/>
  <c r="N70" i="8"/>
  <c r="K71" i="8"/>
  <c r="L71" i="8"/>
  <c r="M71" i="8"/>
  <c r="N71" i="8"/>
  <c r="M487" i="13" l="1"/>
  <c r="L487" i="13"/>
  <c r="K487" i="13"/>
  <c r="J487" i="13"/>
  <c r="M509" i="13"/>
  <c r="L509" i="13"/>
  <c r="K509" i="13"/>
  <c r="N237" i="13" l="1"/>
  <c r="S237" i="13"/>
  <c r="T237" i="13"/>
  <c r="U237" i="13"/>
  <c r="V237" i="13"/>
  <c r="W237" i="13"/>
  <c r="X237" i="13" l="1"/>
  <c r="M342" i="13" l="1"/>
  <c r="M272" i="13"/>
  <c r="M240" i="13"/>
  <c r="M222" i="13"/>
  <c r="M212" i="13"/>
  <c r="M184" i="13"/>
  <c r="M167" i="13"/>
  <c r="M141" i="13"/>
  <c r="L212" i="13" l="1"/>
  <c r="W303" i="13"/>
  <c r="V303" i="13"/>
  <c r="U303" i="13"/>
  <c r="T303" i="13"/>
  <c r="S303" i="13"/>
  <c r="N303" i="13"/>
  <c r="W211" i="13"/>
  <c r="V211" i="13"/>
  <c r="U211" i="13"/>
  <c r="T211" i="13"/>
  <c r="S211" i="13"/>
  <c r="N211" i="13"/>
  <c r="W174" i="13"/>
  <c r="V174" i="13"/>
  <c r="U174" i="13"/>
  <c r="T174" i="13"/>
  <c r="S174" i="13"/>
  <c r="N174" i="13"/>
  <c r="W172" i="13"/>
  <c r="V172" i="13"/>
  <c r="U172" i="13"/>
  <c r="T172" i="13"/>
  <c r="S172" i="13"/>
  <c r="N172" i="13"/>
  <c r="W96" i="13"/>
  <c r="V96" i="13"/>
  <c r="U96" i="13"/>
  <c r="T96" i="13"/>
  <c r="S96" i="13"/>
  <c r="N96" i="13"/>
  <c r="W95" i="13"/>
  <c r="V95" i="13"/>
  <c r="U95" i="13"/>
  <c r="T95" i="13"/>
  <c r="S95" i="13"/>
  <c r="N95" i="13"/>
  <c r="W94" i="13"/>
  <c r="V94" i="13"/>
  <c r="U94" i="13"/>
  <c r="T94" i="13"/>
  <c r="S94" i="13"/>
  <c r="N94" i="13"/>
  <c r="W93" i="13"/>
  <c r="V93" i="13"/>
  <c r="U93" i="13"/>
  <c r="T93" i="13"/>
  <c r="S93" i="13"/>
  <c r="N93" i="13"/>
  <c r="W92" i="13"/>
  <c r="V92" i="13"/>
  <c r="U92" i="13"/>
  <c r="T92" i="13"/>
  <c r="S92" i="13"/>
  <c r="N92" i="13"/>
  <c r="W91" i="13"/>
  <c r="V91" i="13"/>
  <c r="U91" i="13"/>
  <c r="T91" i="13"/>
  <c r="S91" i="13"/>
  <c r="N91" i="13"/>
  <c r="X172" i="13" l="1"/>
  <c r="X174" i="13"/>
  <c r="X303" i="13"/>
  <c r="X211" i="13"/>
  <c r="X95" i="13"/>
  <c r="X94" i="13"/>
  <c r="X92" i="13"/>
  <c r="X91" i="13"/>
  <c r="X93" i="13"/>
  <c r="X96" i="13"/>
  <c r="N120" i="13"/>
  <c r="N119" i="13"/>
  <c r="N118" i="13"/>
  <c r="N117" i="13"/>
  <c r="N116" i="13"/>
  <c r="W120" i="13"/>
  <c r="V120" i="13"/>
  <c r="U120" i="13"/>
  <c r="T120" i="13"/>
  <c r="S120" i="13"/>
  <c r="W119" i="13"/>
  <c r="V119" i="13"/>
  <c r="U119" i="13"/>
  <c r="T119" i="13"/>
  <c r="S119" i="13"/>
  <c r="W118" i="13"/>
  <c r="V118" i="13"/>
  <c r="U118" i="13"/>
  <c r="T118" i="13"/>
  <c r="S118" i="13"/>
  <c r="W117" i="13"/>
  <c r="V117" i="13"/>
  <c r="U117" i="13"/>
  <c r="T117" i="13"/>
  <c r="S117" i="13"/>
  <c r="W116" i="13"/>
  <c r="V116" i="13"/>
  <c r="U116" i="13"/>
  <c r="T116" i="13"/>
  <c r="S116" i="13"/>
  <c r="N156" i="13"/>
  <c r="S156" i="13"/>
  <c r="W156" i="13"/>
  <c r="V156" i="13"/>
  <c r="U156" i="13"/>
  <c r="T156" i="13"/>
  <c r="X118" i="13" l="1"/>
  <c r="X119" i="13"/>
  <c r="X120" i="13"/>
  <c r="X117" i="13"/>
  <c r="X116" i="13"/>
  <c r="X156" i="13"/>
  <c r="M477" i="13" l="1"/>
  <c r="L477" i="13"/>
  <c r="J477" i="13"/>
  <c r="L141" i="13" l="1"/>
  <c r="K141" i="13"/>
  <c r="W428" i="13" l="1"/>
  <c r="V428" i="13"/>
  <c r="U428" i="13"/>
  <c r="T428" i="13"/>
  <c r="S428" i="13"/>
  <c r="N428" i="13"/>
  <c r="W313" i="13"/>
  <c r="V313" i="13"/>
  <c r="U313" i="13"/>
  <c r="T313" i="13"/>
  <c r="S313" i="13"/>
  <c r="N313" i="13"/>
  <c r="W312" i="13"/>
  <c r="V312" i="13"/>
  <c r="U312" i="13"/>
  <c r="T312" i="13"/>
  <c r="S312" i="13"/>
  <c r="N312" i="13"/>
  <c r="X312" i="13" l="1"/>
  <c r="X428" i="13"/>
  <c r="X313" i="13"/>
  <c r="W249" i="13"/>
  <c r="V249" i="13"/>
  <c r="U249" i="13"/>
  <c r="T249" i="13"/>
  <c r="S249" i="13"/>
  <c r="N249" i="13"/>
  <c r="W289" i="13"/>
  <c r="V289" i="13"/>
  <c r="U289" i="13"/>
  <c r="T289" i="13"/>
  <c r="S289" i="13"/>
  <c r="N289" i="13"/>
  <c r="N30" i="13"/>
  <c r="N29" i="13"/>
  <c r="W30" i="13"/>
  <c r="V30" i="13"/>
  <c r="U30" i="13"/>
  <c r="T30" i="13"/>
  <c r="S30" i="13"/>
  <c r="W29" i="13"/>
  <c r="V29" i="13"/>
  <c r="U29" i="13"/>
  <c r="T29" i="13"/>
  <c r="S29" i="13"/>
  <c r="X249" i="13" l="1"/>
  <c r="X289" i="13"/>
  <c r="X29" i="13"/>
  <c r="X30" i="13"/>
  <c r="N469" i="13" l="1"/>
  <c r="W469" i="13" l="1"/>
  <c r="V469" i="13"/>
  <c r="U469" i="13"/>
  <c r="T469" i="13"/>
  <c r="S469" i="13"/>
  <c r="K212" i="13"/>
  <c r="K477" i="13"/>
  <c r="X469" i="13" l="1"/>
  <c r="N181" i="13"/>
  <c r="W145" i="13" l="1"/>
  <c r="V145" i="13"/>
  <c r="U145" i="13"/>
  <c r="T145" i="13"/>
  <c r="S145" i="13"/>
  <c r="N145" i="13"/>
  <c r="W410" i="13"/>
  <c r="V410" i="13"/>
  <c r="U410" i="13"/>
  <c r="T410" i="13"/>
  <c r="S410" i="13"/>
  <c r="N410" i="13"/>
  <c r="W409" i="13"/>
  <c r="V409" i="13"/>
  <c r="U409" i="13"/>
  <c r="T409" i="13"/>
  <c r="S409" i="13"/>
  <c r="N409" i="13"/>
  <c r="W408" i="13"/>
  <c r="V408" i="13"/>
  <c r="U408" i="13"/>
  <c r="T408" i="13"/>
  <c r="S408" i="13"/>
  <c r="N408" i="13"/>
  <c r="X145" i="13" l="1"/>
  <c r="X408" i="13"/>
  <c r="X410" i="13"/>
  <c r="X409" i="13"/>
  <c r="W231" i="13" l="1"/>
  <c r="V231" i="13"/>
  <c r="U231" i="13"/>
  <c r="T231" i="13"/>
  <c r="S231" i="13"/>
  <c r="N231" i="13"/>
  <c r="W230" i="13"/>
  <c r="V230" i="13"/>
  <c r="U230" i="13"/>
  <c r="T230" i="13"/>
  <c r="S230" i="13"/>
  <c r="N230" i="13"/>
  <c r="W229" i="13"/>
  <c r="V229" i="13"/>
  <c r="U229" i="13"/>
  <c r="T229" i="13"/>
  <c r="S229" i="13"/>
  <c r="N229" i="13"/>
  <c r="W238" i="13"/>
  <c r="V238" i="13"/>
  <c r="U238" i="13"/>
  <c r="T238" i="13"/>
  <c r="S238" i="13"/>
  <c r="N238" i="13"/>
  <c r="W236" i="13"/>
  <c r="V236" i="13"/>
  <c r="U236" i="13"/>
  <c r="T236" i="13"/>
  <c r="S236" i="13"/>
  <c r="N236" i="13"/>
  <c r="W79" i="13"/>
  <c r="V79" i="13"/>
  <c r="U79" i="13"/>
  <c r="T79" i="13"/>
  <c r="S79" i="13"/>
  <c r="N79" i="13"/>
  <c r="W78" i="13"/>
  <c r="V78" i="13"/>
  <c r="U78" i="13"/>
  <c r="T78" i="13"/>
  <c r="S78" i="13"/>
  <c r="N78" i="13"/>
  <c r="W77" i="13"/>
  <c r="V77" i="13"/>
  <c r="U77" i="13"/>
  <c r="T77" i="13"/>
  <c r="S77" i="13"/>
  <c r="N77" i="13"/>
  <c r="W76" i="13"/>
  <c r="V76" i="13"/>
  <c r="U76" i="13"/>
  <c r="T76" i="13"/>
  <c r="S76" i="13"/>
  <c r="N76" i="13"/>
  <c r="W75" i="13"/>
  <c r="V75" i="13"/>
  <c r="U75" i="13"/>
  <c r="T75" i="13"/>
  <c r="S75" i="13"/>
  <c r="N75" i="13"/>
  <c r="W74" i="13"/>
  <c r="V74" i="13"/>
  <c r="U74" i="13"/>
  <c r="T74" i="13"/>
  <c r="S74" i="13"/>
  <c r="N74" i="13"/>
  <c r="W73" i="13"/>
  <c r="V73" i="13"/>
  <c r="U73" i="13"/>
  <c r="T73" i="13"/>
  <c r="S73" i="13"/>
  <c r="N73" i="13"/>
  <c r="W72" i="13"/>
  <c r="V72" i="13"/>
  <c r="U72" i="13"/>
  <c r="T72" i="13"/>
  <c r="S72" i="13"/>
  <c r="N72" i="13"/>
  <c r="W147" i="13"/>
  <c r="V147" i="13"/>
  <c r="U147" i="13"/>
  <c r="T147" i="13"/>
  <c r="S147" i="13"/>
  <c r="N147" i="13"/>
  <c r="W252" i="13"/>
  <c r="V252" i="13"/>
  <c r="U252" i="13"/>
  <c r="T252" i="13"/>
  <c r="S252" i="13"/>
  <c r="N252" i="13"/>
  <c r="W328" i="13"/>
  <c r="V328" i="13"/>
  <c r="U328" i="13"/>
  <c r="T328" i="13"/>
  <c r="S328" i="13"/>
  <c r="N328" i="13"/>
  <c r="W311" i="13"/>
  <c r="V311" i="13"/>
  <c r="U311" i="13"/>
  <c r="T311" i="13"/>
  <c r="S311" i="13"/>
  <c r="N311" i="13"/>
  <c r="W256" i="13"/>
  <c r="V256" i="13"/>
  <c r="U256" i="13"/>
  <c r="T256" i="13"/>
  <c r="S256" i="13"/>
  <c r="N256" i="13"/>
  <c r="W194" i="13"/>
  <c r="V194" i="13"/>
  <c r="U194" i="13"/>
  <c r="T194" i="13"/>
  <c r="S194" i="13"/>
  <c r="N194" i="13"/>
  <c r="W189" i="13"/>
  <c r="V189" i="13"/>
  <c r="U189" i="13"/>
  <c r="T189" i="13"/>
  <c r="S189" i="13"/>
  <c r="N189" i="13"/>
  <c r="W180" i="13"/>
  <c r="V180" i="13"/>
  <c r="U180" i="13"/>
  <c r="T180" i="13"/>
  <c r="S180" i="13"/>
  <c r="N180" i="13"/>
  <c r="W206" i="13"/>
  <c r="V206" i="13"/>
  <c r="U206" i="13"/>
  <c r="T206" i="13"/>
  <c r="S206" i="13"/>
  <c r="N206" i="13"/>
  <c r="W198" i="13"/>
  <c r="V198" i="13"/>
  <c r="U198" i="13"/>
  <c r="T198" i="13"/>
  <c r="S198" i="13"/>
  <c r="N198" i="13"/>
  <c r="W197" i="13"/>
  <c r="V197" i="13"/>
  <c r="U197" i="13"/>
  <c r="T197" i="13"/>
  <c r="S197" i="13"/>
  <c r="N197" i="13"/>
  <c r="W339" i="13"/>
  <c r="V339" i="13"/>
  <c r="U339" i="13"/>
  <c r="T339" i="13"/>
  <c r="S339" i="13"/>
  <c r="N339" i="13"/>
  <c r="N28" i="13"/>
  <c r="N27" i="13"/>
  <c r="N26" i="13"/>
  <c r="N25" i="13"/>
  <c r="W28" i="13"/>
  <c r="V28" i="13"/>
  <c r="U28" i="13"/>
  <c r="T28" i="13"/>
  <c r="S28" i="13"/>
  <c r="W27" i="13"/>
  <c r="V27" i="13"/>
  <c r="U27" i="13"/>
  <c r="T27" i="13"/>
  <c r="S27" i="13"/>
  <c r="W26" i="13"/>
  <c r="V26" i="13"/>
  <c r="U26" i="13"/>
  <c r="T26" i="13"/>
  <c r="S26" i="13"/>
  <c r="W25" i="13"/>
  <c r="V25" i="13"/>
  <c r="U25" i="13"/>
  <c r="T25" i="13"/>
  <c r="S25" i="13"/>
  <c r="X197" i="13" l="1"/>
  <c r="X206" i="13"/>
  <c r="X189" i="13"/>
  <c r="X256" i="13"/>
  <c r="X328" i="13"/>
  <c r="X147" i="13"/>
  <c r="X198" i="13"/>
  <c r="X180" i="13"/>
  <c r="X194" i="13"/>
  <c r="X339" i="13"/>
  <c r="X311" i="13"/>
  <c r="X252" i="13"/>
  <c r="X229" i="13"/>
  <c r="X231" i="13"/>
  <c r="X236" i="13"/>
  <c r="X238" i="13"/>
  <c r="X230" i="13"/>
  <c r="X79" i="13"/>
  <c r="X73" i="13"/>
  <c r="X75" i="13"/>
  <c r="X77" i="13"/>
  <c r="X72" i="13"/>
  <c r="X74" i="13"/>
  <c r="X76" i="13"/>
  <c r="X78" i="13"/>
  <c r="X28" i="13"/>
  <c r="X25" i="13"/>
  <c r="X26" i="13"/>
  <c r="X27" i="13"/>
  <c r="N140" i="13" l="1"/>
  <c r="N139" i="13"/>
  <c r="N138" i="13"/>
  <c r="N137" i="13"/>
  <c r="N136" i="13"/>
  <c r="N135" i="13"/>
  <c r="N201" i="13"/>
  <c r="N320" i="13"/>
  <c r="W320" i="13" l="1"/>
  <c r="V320" i="13"/>
  <c r="U320" i="13"/>
  <c r="T320" i="13"/>
  <c r="W263" i="13"/>
  <c r="V263" i="13"/>
  <c r="W253" i="13"/>
  <c r="V253" i="13"/>
  <c r="W463" i="13"/>
  <c r="V463" i="13"/>
  <c r="W201" i="13"/>
  <c r="V201" i="13"/>
  <c r="U201" i="13"/>
  <c r="T201" i="13"/>
  <c r="W299" i="13"/>
  <c r="V299" i="13"/>
  <c r="U299" i="13"/>
  <c r="T299" i="13"/>
  <c r="S299" i="13"/>
  <c r="N299" i="13"/>
  <c r="X299" i="13" l="1"/>
  <c r="W254" i="13"/>
  <c r="V254" i="13"/>
  <c r="U254" i="13"/>
  <c r="T254" i="13"/>
  <c r="S254" i="13"/>
  <c r="N254" i="13"/>
  <c r="U253" i="13"/>
  <c r="T253" i="13"/>
  <c r="S253" i="13"/>
  <c r="N253" i="13"/>
  <c r="W205" i="13"/>
  <c r="V205" i="13"/>
  <c r="U205" i="13"/>
  <c r="T205" i="13"/>
  <c r="S205" i="13"/>
  <c r="N205" i="13"/>
  <c r="X253" i="13" l="1"/>
  <c r="X254" i="13"/>
  <c r="X205" i="13"/>
  <c r="W140" i="13" l="1"/>
  <c r="V140" i="13"/>
  <c r="U140" i="13"/>
  <c r="T140" i="13"/>
  <c r="S140" i="13"/>
  <c r="W139" i="13"/>
  <c r="V139" i="13"/>
  <c r="U139" i="13"/>
  <c r="T139" i="13"/>
  <c r="S139" i="13"/>
  <c r="W138" i="13"/>
  <c r="V138" i="13"/>
  <c r="U138" i="13"/>
  <c r="T138" i="13"/>
  <c r="S138" i="13"/>
  <c r="W137" i="13"/>
  <c r="V137" i="13"/>
  <c r="U137" i="13"/>
  <c r="T137" i="13"/>
  <c r="S137" i="13"/>
  <c r="W136" i="13"/>
  <c r="V136" i="13"/>
  <c r="U136" i="13"/>
  <c r="T136" i="13"/>
  <c r="S136" i="13"/>
  <c r="W135" i="13"/>
  <c r="V135" i="13"/>
  <c r="U135" i="13"/>
  <c r="T135" i="13"/>
  <c r="S135" i="13"/>
  <c r="W181" i="13"/>
  <c r="V181" i="13"/>
  <c r="U181" i="13"/>
  <c r="T181" i="13"/>
  <c r="S181" i="13"/>
  <c r="X201" i="13"/>
  <c r="S201" i="13"/>
  <c r="X136" i="13" l="1"/>
  <c r="X138" i="13"/>
  <c r="X139" i="13"/>
  <c r="X140" i="13"/>
  <c r="X137" i="13"/>
  <c r="X135" i="13"/>
  <c r="X181" i="13"/>
  <c r="X320" i="13" l="1"/>
  <c r="S320" i="13"/>
  <c r="N170" i="13" l="1"/>
  <c r="C111" i="14" l="1"/>
  <c r="C11" i="14" s="1"/>
  <c r="E111" i="14"/>
  <c r="E11" i="14" s="1"/>
  <c r="I104" i="14"/>
  <c r="G104" i="14"/>
  <c r="E104" i="14"/>
  <c r="E10" i="14" s="1"/>
  <c r="C104" i="14"/>
  <c r="C10" i="14" s="1"/>
  <c r="C97" i="14"/>
  <c r="C9" i="14" s="1"/>
  <c r="E97" i="14"/>
  <c r="E9" i="14" s="1"/>
  <c r="C90" i="14"/>
  <c r="C8" i="14" s="1"/>
  <c r="E90" i="14"/>
  <c r="E8" i="14" s="1"/>
  <c r="G90" i="14"/>
  <c r="C76" i="14"/>
  <c r="C6" i="14" s="1"/>
  <c r="E76" i="14"/>
  <c r="E6" i="14" s="1"/>
  <c r="C55" i="14"/>
  <c r="C3" i="14" s="1"/>
  <c r="E55" i="14"/>
  <c r="E3" i="14" s="1"/>
  <c r="J509" i="13"/>
  <c r="N476" i="13" l="1"/>
  <c r="O5" i="9" l="1"/>
  <c r="Q5" i="9" s="1"/>
  <c r="O6" i="9"/>
  <c r="Q6" i="9" s="1"/>
  <c r="N314" i="13" l="1"/>
  <c r="I120" i="14" l="1"/>
  <c r="H120" i="14"/>
  <c r="G120" i="14"/>
  <c r="F120" i="14"/>
  <c r="E120" i="14"/>
  <c r="D120" i="14"/>
  <c r="C120" i="14"/>
  <c r="B120" i="14"/>
  <c r="I119" i="14"/>
  <c r="H119" i="14"/>
  <c r="G119" i="14"/>
  <c r="F119" i="14"/>
  <c r="E119" i="14"/>
  <c r="D119" i="14"/>
  <c r="C119" i="14"/>
  <c r="B119" i="14"/>
  <c r="I118" i="14"/>
  <c r="H118" i="14"/>
  <c r="G118" i="14"/>
  <c r="F118" i="14"/>
  <c r="E118" i="14"/>
  <c r="D118" i="14"/>
  <c r="C118" i="14"/>
  <c r="B118" i="14"/>
  <c r="I117" i="14"/>
  <c r="H117" i="14"/>
  <c r="G117" i="14"/>
  <c r="F117" i="14"/>
  <c r="E117" i="14"/>
  <c r="D117" i="14"/>
  <c r="C117" i="14"/>
  <c r="B117" i="14"/>
  <c r="I69" i="14" l="1"/>
  <c r="M549" i="13" l="1"/>
  <c r="L549" i="13"/>
  <c r="M541" i="13" l="1"/>
  <c r="I5" i="14"/>
  <c r="G10" i="14"/>
  <c r="G8" i="14"/>
  <c r="M542" i="13"/>
  <c r="W404" i="13" l="1"/>
  <c r="V404" i="13"/>
  <c r="U404" i="13"/>
  <c r="T404" i="13"/>
  <c r="S404" i="13"/>
  <c r="N404" i="13"/>
  <c r="W403" i="13"/>
  <c r="V403" i="13"/>
  <c r="U403" i="13"/>
  <c r="T403" i="13"/>
  <c r="S403" i="13"/>
  <c r="N403" i="13"/>
  <c r="W287" i="13"/>
  <c r="V287" i="13"/>
  <c r="U287" i="13"/>
  <c r="T287" i="13"/>
  <c r="S287" i="13"/>
  <c r="N287" i="13"/>
  <c r="W286" i="13"/>
  <c r="V286" i="13"/>
  <c r="U286" i="13"/>
  <c r="T286" i="13"/>
  <c r="S286" i="13"/>
  <c r="N286" i="13"/>
  <c r="W284" i="13"/>
  <c r="V284" i="13"/>
  <c r="U284" i="13"/>
  <c r="T284" i="13"/>
  <c r="S284" i="13"/>
  <c r="N284" i="13"/>
  <c r="W282" i="13"/>
  <c r="V282" i="13"/>
  <c r="U282" i="13"/>
  <c r="T282" i="13"/>
  <c r="S282" i="13"/>
  <c r="W278" i="13"/>
  <c r="V278" i="13"/>
  <c r="U278" i="13"/>
  <c r="T278" i="13"/>
  <c r="S278" i="13"/>
  <c r="N278" i="13"/>
  <c r="W277" i="13"/>
  <c r="V277" i="13"/>
  <c r="U277" i="13"/>
  <c r="T277" i="13"/>
  <c r="S277" i="13"/>
  <c r="N277" i="13"/>
  <c r="X287" i="13" l="1"/>
  <c r="X404" i="13"/>
  <c r="X403" i="13"/>
  <c r="X286" i="13"/>
  <c r="X278" i="13"/>
  <c r="X284" i="13"/>
  <c r="X282" i="13"/>
  <c r="X277" i="13"/>
  <c r="W170" i="13"/>
  <c r="V170" i="13"/>
  <c r="U170" i="13"/>
  <c r="T170" i="13"/>
  <c r="S170" i="13"/>
  <c r="W173" i="13"/>
  <c r="V173" i="13"/>
  <c r="U173" i="13"/>
  <c r="T173" i="13"/>
  <c r="S173" i="13"/>
  <c r="N173" i="13"/>
  <c r="X173" i="13" l="1"/>
  <c r="X170" i="13"/>
  <c r="W162" i="13"/>
  <c r="V162" i="13"/>
  <c r="U162" i="13"/>
  <c r="T162" i="13"/>
  <c r="S162" i="13"/>
  <c r="N162" i="13"/>
  <c r="W160" i="13"/>
  <c r="V160" i="13"/>
  <c r="U160" i="13"/>
  <c r="T160" i="13"/>
  <c r="S160" i="13"/>
  <c r="N160" i="13"/>
  <c r="X162" i="13" l="1"/>
  <c r="X160" i="13"/>
  <c r="W210" i="13" l="1"/>
  <c r="V210" i="13"/>
  <c r="U210" i="13"/>
  <c r="T210" i="13"/>
  <c r="S210" i="13"/>
  <c r="N210" i="13"/>
  <c r="X210" i="13" l="1"/>
  <c r="W207" i="13"/>
  <c r="V207" i="13"/>
  <c r="U207" i="13"/>
  <c r="T207" i="13"/>
  <c r="S207" i="13"/>
  <c r="N207" i="13"/>
  <c r="W177" i="13"/>
  <c r="V177" i="13"/>
  <c r="U177" i="13"/>
  <c r="T177" i="13"/>
  <c r="S177" i="13"/>
  <c r="N177" i="13"/>
  <c r="W152" i="13"/>
  <c r="V152" i="13"/>
  <c r="U152" i="13"/>
  <c r="T152" i="13"/>
  <c r="S152" i="13"/>
  <c r="N152" i="13"/>
  <c r="W334" i="13"/>
  <c r="V334" i="13"/>
  <c r="U334" i="13"/>
  <c r="T334" i="13"/>
  <c r="S334" i="13"/>
  <c r="N334" i="13"/>
  <c r="W340" i="13"/>
  <c r="V340" i="13"/>
  <c r="U340" i="13"/>
  <c r="T340" i="13"/>
  <c r="S340" i="13"/>
  <c r="N340" i="13"/>
  <c r="W150" i="13"/>
  <c r="V150" i="13"/>
  <c r="U150" i="13"/>
  <c r="T150" i="13"/>
  <c r="S150" i="13"/>
  <c r="N150" i="13"/>
  <c r="X152" i="13" l="1"/>
  <c r="X207" i="13"/>
  <c r="X150" i="13"/>
  <c r="X334" i="13"/>
  <c r="X340" i="13"/>
  <c r="X177" i="13"/>
  <c r="W297" i="13"/>
  <c r="V297" i="13"/>
  <c r="U297" i="13"/>
  <c r="T297" i="13"/>
  <c r="S297" i="13"/>
  <c r="N297" i="13"/>
  <c r="X297" i="13" l="1"/>
  <c r="N204" i="13" l="1"/>
  <c r="W204" i="13"/>
  <c r="V204" i="13"/>
  <c r="U204" i="13"/>
  <c r="T204" i="13"/>
  <c r="S204" i="13"/>
  <c r="X204" i="13" l="1"/>
  <c r="L542" i="13" l="1"/>
  <c r="K542" i="13"/>
  <c r="J542" i="13"/>
  <c r="C83" i="14" l="1"/>
  <c r="C7" i="14" s="1"/>
  <c r="E83" i="14"/>
  <c r="E7" i="14" s="1"/>
  <c r="G83" i="14"/>
  <c r="G7" i="14" s="1"/>
  <c r="W325" i="13" l="1"/>
  <c r="V325" i="13"/>
  <c r="U325" i="13"/>
  <c r="T325" i="13"/>
  <c r="S325" i="13"/>
  <c r="N325" i="13"/>
  <c r="W321" i="13"/>
  <c r="V321" i="13"/>
  <c r="U321" i="13"/>
  <c r="T321" i="13"/>
  <c r="S321" i="13"/>
  <c r="N321" i="13"/>
  <c r="W317" i="13"/>
  <c r="V317" i="13"/>
  <c r="U317" i="13"/>
  <c r="T317" i="13"/>
  <c r="S317" i="13"/>
  <c r="N317" i="13"/>
  <c r="W314" i="13"/>
  <c r="V314" i="13"/>
  <c r="U314" i="13"/>
  <c r="T314" i="13"/>
  <c r="S314" i="13"/>
  <c r="W304" i="13"/>
  <c r="V304" i="13"/>
  <c r="U304" i="13"/>
  <c r="T304" i="13"/>
  <c r="S304" i="13"/>
  <c r="N304" i="13"/>
  <c r="W310" i="13"/>
  <c r="V310" i="13"/>
  <c r="U310" i="13"/>
  <c r="T310" i="13"/>
  <c r="S310" i="13"/>
  <c r="N310" i="13"/>
  <c r="X304" i="13" l="1"/>
  <c r="X317" i="13"/>
  <c r="X325" i="13"/>
  <c r="X310" i="13"/>
  <c r="X314" i="13"/>
  <c r="X321" i="13"/>
  <c r="L541" i="13" l="1"/>
  <c r="C69" i="14" l="1"/>
  <c r="C5" i="14" s="1"/>
  <c r="E69" i="14"/>
  <c r="E5" i="14" s="1"/>
  <c r="C62" i="14" l="1"/>
  <c r="E62" i="14"/>
  <c r="E121" i="14"/>
  <c r="C121" i="14"/>
  <c r="E4" i="14" l="1"/>
  <c r="E13" i="14" s="1"/>
  <c r="C4" i="14"/>
  <c r="C13" i="14" s="1"/>
  <c r="I111" i="14"/>
  <c r="I11" i="14" s="1"/>
  <c r="G111" i="14"/>
  <c r="G11" i="14" s="1"/>
  <c r="I10" i="14"/>
  <c r="I97" i="14"/>
  <c r="I9" i="14" s="1"/>
  <c r="G97" i="14"/>
  <c r="G9" i="14" s="1"/>
  <c r="I90" i="14"/>
  <c r="I8" i="14" s="1"/>
  <c r="I83" i="14"/>
  <c r="I7" i="14" s="1"/>
  <c r="G69" i="14"/>
  <c r="G5" i="14" s="1"/>
  <c r="G76" i="14"/>
  <c r="G6" i="14" s="1"/>
  <c r="I76" i="14"/>
  <c r="I6" i="14" s="1"/>
  <c r="I55" i="14"/>
  <c r="I3" i="14" s="1"/>
  <c r="I62" i="14"/>
  <c r="G62" i="14"/>
  <c r="G4" i="14" s="1"/>
  <c r="G55" i="14"/>
  <c r="L342" i="13"/>
  <c r="L272" i="13"/>
  <c r="L240" i="13"/>
  <c r="L222" i="13"/>
  <c r="L184" i="13"/>
  <c r="L167" i="13"/>
  <c r="G121" i="14" l="1"/>
  <c r="G3" i="14"/>
  <c r="G13" i="14" s="1"/>
  <c r="I121" i="14"/>
  <c r="I4" i="14"/>
  <c r="I13" i="14" s="1"/>
  <c r="W439" i="13"/>
  <c r="V439" i="13"/>
  <c r="U439" i="13"/>
  <c r="T439" i="13"/>
  <c r="S439" i="13"/>
  <c r="N439" i="13"/>
  <c r="K121" i="14" l="1"/>
  <c r="X439" i="13"/>
  <c r="K111" i="14" l="1"/>
  <c r="K104" i="14"/>
  <c r="K97" i="14"/>
  <c r="K90" i="14"/>
  <c r="K69" i="14"/>
  <c r="K83" i="14"/>
  <c r="K76" i="14"/>
  <c r="K62" i="14"/>
  <c r="K55" i="14"/>
  <c r="K61" i="14"/>
  <c r="J61" i="14"/>
  <c r="K60" i="14"/>
  <c r="J60" i="14"/>
  <c r="K59" i="14"/>
  <c r="J59" i="14"/>
  <c r="K58" i="14"/>
  <c r="J58" i="14"/>
  <c r="K103" i="14"/>
  <c r="J103" i="14"/>
  <c r="K102" i="14"/>
  <c r="J102" i="14"/>
  <c r="K101" i="14"/>
  <c r="J101" i="14"/>
  <c r="K100" i="14"/>
  <c r="J100" i="14"/>
  <c r="K96" i="14"/>
  <c r="J96" i="14"/>
  <c r="K95" i="14"/>
  <c r="J95" i="14"/>
  <c r="K94" i="14"/>
  <c r="J94" i="14"/>
  <c r="K93" i="14"/>
  <c r="J93" i="14"/>
  <c r="K89" i="14"/>
  <c r="J89" i="14"/>
  <c r="K88" i="14"/>
  <c r="J88" i="14"/>
  <c r="K87" i="14"/>
  <c r="J87" i="14"/>
  <c r="K86" i="14"/>
  <c r="J86" i="14"/>
  <c r="K68" i="14"/>
  <c r="J68" i="14"/>
  <c r="K67" i="14"/>
  <c r="J67" i="14"/>
  <c r="K66" i="14"/>
  <c r="J66" i="14"/>
  <c r="K65" i="14"/>
  <c r="J65" i="14"/>
  <c r="K82" i="14"/>
  <c r="J82" i="14"/>
  <c r="K81" i="14"/>
  <c r="J81" i="14"/>
  <c r="K80" i="14"/>
  <c r="J80" i="14"/>
  <c r="K79" i="14"/>
  <c r="J79" i="14"/>
  <c r="K110" i="14"/>
  <c r="J110" i="14"/>
  <c r="K109" i="14"/>
  <c r="J109" i="14"/>
  <c r="K108" i="14"/>
  <c r="J108" i="14"/>
  <c r="K107" i="14"/>
  <c r="J107" i="14"/>
  <c r="K75" i="14"/>
  <c r="J75" i="14"/>
  <c r="K74" i="14"/>
  <c r="J74" i="14"/>
  <c r="K73" i="14"/>
  <c r="J73" i="14"/>
  <c r="K72" i="14"/>
  <c r="J72" i="14"/>
  <c r="K54" i="14"/>
  <c r="J54" i="14"/>
  <c r="K53" i="14"/>
  <c r="J53" i="14"/>
  <c r="K52" i="14"/>
  <c r="J52" i="14"/>
  <c r="K51" i="14"/>
  <c r="J51" i="14"/>
  <c r="K119" i="14" l="1"/>
  <c r="K120" i="14"/>
  <c r="K115" i="14"/>
  <c r="J120" i="14"/>
  <c r="J117" i="14"/>
  <c r="J119" i="14"/>
  <c r="K118" i="14"/>
  <c r="K117" i="14"/>
  <c r="J118" i="14"/>
  <c r="J83" i="14"/>
  <c r="J69" i="14"/>
  <c r="J90" i="14"/>
  <c r="J97" i="14"/>
  <c r="G122" i="14"/>
  <c r="I122" i="14"/>
  <c r="E122" i="14"/>
  <c r="C122" i="14"/>
  <c r="K122" i="14" l="1"/>
  <c r="J549" i="13"/>
  <c r="K549" i="13"/>
  <c r="J541" i="13"/>
  <c r="K541" i="13"/>
  <c r="N463" i="13" l="1"/>
  <c r="U463" i="13" l="1"/>
  <c r="T463" i="13"/>
  <c r="S463" i="13"/>
  <c r="X463" i="13" l="1"/>
  <c r="W425" i="13" l="1"/>
  <c r="V425" i="13"/>
  <c r="U425" i="13"/>
  <c r="T425" i="13"/>
  <c r="S425" i="13"/>
  <c r="N425" i="13"/>
  <c r="W465" i="13"/>
  <c r="V465" i="13"/>
  <c r="U465" i="13"/>
  <c r="T465" i="13"/>
  <c r="S465" i="13"/>
  <c r="N465" i="13"/>
  <c r="W466" i="13"/>
  <c r="V466" i="13"/>
  <c r="U466" i="13"/>
  <c r="T466" i="13"/>
  <c r="S466" i="13"/>
  <c r="N466" i="13"/>
  <c r="X425" i="13" l="1"/>
  <c r="X465" i="13"/>
  <c r="X466" i="13"/>
  <c r="W405" i="13"/>
  <c r="V405" i="13"/>
  <c r="U405" i="13"/>
  <c r="T405" i="13"/>
  <c r="S405" i="13"/>
  <c r="N405" i="13"/>
  <c r="X405" i="13" l="1"/>
  <c r="N322" i="13" l="1"/>
  <c r="W322" i="13"/>
  <c r="V322" i="13"/>
  <c r="U322" i="13"/>
  <c r="T322" i="13"/>
  <c r="S322" i="13"/>
  <c r="X322" i="13" l="1"/>
  <c r="W108" i="13" l="1"/>
  <c r="V108" i="13"/>
  <c r="U108" i="13"/>
  <c r="T108" i="13"/>
  <c r="S108" i="13"/>
  <c r="W107" i="13"/>
  <c r="V107" i="13"/>
  <c r="U107" i="13"/>
  <c r="T107" i="13"/>
  <c r="S107" i="13"/>
  <c r="W106" i="13"/>
  <c r="V106" i="13"/>
  <c r="U106" i="13"/>
  <c r="T106" i="13"/>
  <c r="S106" i="13"/>
  <c r="W105" i="13"/>
  <c r="V105" i="13"/>
  <c r="U105" i="13"/>
  <c r="T105" i="13"/>
  <c r="S105" i="13"/>
  <c r="N108" i="13"/>
  <c r="N107" i="13"/>
  <c r="N106" i="13"/>
  <c r="N105" i="13"/>
  <c r="N100" i="13"/>
  <c r="N99" i="13"/>
  <c r="N98" i="13"/>
  <c r="N97" i="13"/>
  <c r="W100" i="13"/>
  <c r="V100" i="13"/>
  <c r="U100" i="13"/>
  <c r="T100" i="13"/>
  <c r="S100" i="13"/>
  <c r="W99" i="13"/>
  <c r="V99" i="13"/>
  <c r="U99" i="13"/>
  <c r="T99" i="13"/>
  <c r="S99" i="13"/>
  <c r="W98" i="13"/>
  <c r="V98" i="13"/>
  <c r="U98" i="13"/>
  <c r="T98" i="13"/>
  <c r="S98" i="13"/>
  <c r="W97" i="13"/>
  <c r="V97" i="13"/>
  <c r="U97" i="13"/>
  <c r="T97" i="13"/>
  <c r="S97" i="13"/>
  <c r="W235" i="13"/>
  <c r="V235" i="13"/>
  <c r="U235" i="13"/>
  <c r="T235" i="13"/>
  <c r="S235" i="13"/>
  <c r="N235" i="13"/>
  <c r="W234" i="13"/>
  <c r="V234" i="13"/>
  <c r="U234" i="13"/>
  <c r="T234" i="13"/>
  <c r="S234" i="13"/>
  <c r="N234" i="13"/>
  <c r="W233" i="13"/>
  <c r="V233" i="13"/>
  <c r="U233" i="13"/>
  <c r="T233" i="13"/>
  <c r="S233" i="13"/>
  <c r="N233" i="13"/>
  <c r="X106" i="13" l="1"/>
  <c r="X107" i="13"/>
  <c r="X100" i="13"/>
  <c r="X108" i="13"/>
  <c r="X105" i="13"/>
  <c r="X99" i="13"/>
  <c r="X97" i="13"/>
  <c r="X98" i="13"/>
  <c r="X233" i="13"/>
  <c r="X235" i="13"/>
  <c r="X234" i="13"/>
  <c r="N148" i="13" l="1"/>
  <c r="W148" i="13"/>
  <c r="V148" i="13"/>
  <c r="U148" i="13"/>
  <c r="T148" i="13"/>
  <c r="S148" i="13"/>
  <c r="X148" i="13" l="1"/>
  <c r="W154" i="13"/>
  <c r="V154" i="13"/>
  <c r="U154" i="13"/>
  <c r="T154" i="13"/>
  <c r="S154" i="13"/>
  <c r="N154" i="13"/>
  <c r="M547" i="13" l="1"/>
  <c r="K547" i="13"/>
  <c r="L547" i="13"/>
  <c r="J547" i="13"/>
  <c r="X154" i="13"/>
  <c r="K10" i="14" l="1"/>
  <c r="K9" i="14"/>
  <c r="K8" i="14"/>
  <c r="K7" i="14"/>
  <c r="K6" i="14"/>
  <c r="K4" i="14"/>
  <c r="K11" i="14"/>
  <c r="K5" i="14"/>
  <c r="K3" i="14"/>
  <c r="K13" i="14" l="1"/>
  <c r="L115" i="14" s="1"/>
  <c r="J512" i="13" l="1"/>
  <c r="K512" i="13"/>
  <c r="L512" i="13"/>
  <c r="E71" i="8"/>
  <c r="D71" i="8"/>
  <c r="C71" i="8"/>
  <c r="B71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M488" i="13" l="1"/>
  <c r="M486" i="13"/>
  <c r="M485" i="13"/>
  <c r="M484" i="13"/>
  <c r="M483" i="13"/>
  <c r="L488" i="13"/>
  <c r="L486" i="13"/>
  <c r="L485" i="13"/>
  <c r="L484" i="13"/>
  <c r="L483" i="13"/>
  <c r="K488" i="13"/>
  <c r="K486" i="13"/>
  <c r="K485" i="13"/>
  <c r="K484" i="13"/>
  <c r="K483" i="13"/>
  <c r="J486" i="13"/>
  <c r="J488" i="13"/>
  <c r="J485" i="13"/>
  <c r="J484" i="13"/>
  <c r="J483" i="13"/>
  <c r="W155" i="13"/>
  <c r="V155" i="13"/>
  <c r="U155" i="13"/>
  <c r="T155" i="13"/>
  <c r="S155" i="13"/>
  <c r="W149" i="13"/>
  <c r="V149" i="13"/>
  <c r="U149" i="13"/>
  <c r="T149" i="13"/>
  <c r="S149" i="13"/>
  <c r="M489" i="13" l="1"/>
  <c r="L489" i="13"/>
  <c r="J489" i="13"/>
  <c r="K489" i="13"/>
  <c r="X149" i="13"/>
  <c r="X155" i="13"/>
  <c r="W402" i="13"/>
  <c r="V402" i="13"/>
  <c r="U402" i="13"/>
  <c r="T402" i="13"/>
  <c r="S402" i="13"/>
  <c r="W288" i="13"/>
  <c r="V288" i="13"/>
  <c r="U288" i="13"/>
  <c r="T288" i="13"/>
  <c r="S288" i="13"/>
  <c r="W285" i="13"/>
  <c r="V285" i="13"/>
  <c r="U285" i="13"/>
  <c r="T285" i="13"/>
  <c r="S285" i="13"/>
  <c r="W406" i="13"/>
  <c r="V406" i="13"/>
  <c r="U406" i="13"/>
  <c r="T406" i="13"/>
  <c r="S406" i="13"/>
  <c r="N406" i="13"/>
  <c r="N402" i="13"/>
  <c r="W221" i="13"/>
  <c r="V221" i="13"/>
  <c r="U221" i="13"/>
  <c r="T221" i="13"/>
  <c r="S221" i="13"/>
  <c r="W220" i="13"/>
  <c r="V220" i="13"/>
  <c r="U220" i="13"/>
  <c r="T220" i="13"/>
  <c r="S220" i="13"/>
  <c r="W219" i="13"/>
  <c r="V219" i="13"/>
  <c r="U219" i="13"/>
  <c r="T219" i="13"/>
  <c r="S219" i="13"/>
  <c r="W218" i="13"/>
  <c r="V218" i="13"/>
  <c r="U218" i="13"/>
  <c r="T218" i="13"/>
  <c r="S218" i="13"/>
  <c r="W217" i="13"/>
  <c r="V217" i="13"/>
  <c r="U217" i="13"/>
  <c r="T217" i="13"/>
  <c r="S217" i="13"/>
  <c r="W216" i="13"/>
  <c r="V216" i="13"/>
  <c r="U216" i="13"/>
  <c r="T216" i="13"/>
  <c r="S216" i="13"/>
  <c r="W215" i="13"/>
  <c r="V215" i="13"/>
  <c r="U215" i="13"/>
  <c r="T215" i="13"/>
  <c r="S215" i="13"/>
  <c r="N220" i="13"/>
  <c r="N216" i="13"/>
  <c r="N215" i="13"/>
  <c r="S549" i="13" l="1"/>
  <c r="W549" i="13"/>
  <c r="X215" i="13"/>
  <c r="X218" i="13"/>
  <c r="X221" i="13"/>
  <c r="X402" i="13"/>
  <c r="X406" i="13"/>
  <c r="X288" i="13"/>
  <c r="X285" i="13"/>
  <c r="X219" i="13"/>
  <c r="X216" i="13"/>
  <c r="X217" i="13"/>
  <c r="X220" i="13"/>
  <c r="N208" i="13" l="1"/>
  <c r="W208" i="13"/>
  <c r="V208" i="13"/>
  <c r="U208" i="13"/>
  <c r="T208" i="13"/>
  <c r="S208" i="13"/>
  <c r="W468" i="13"/>
  <c r="V468" i="13"/>
  <c r="U468" i="13"/>
  <c r="T468" i="13"/>
  <c r="S468" i="13"/>
  <c r="W467" i="13"/>
  <c r="V467" i="13"/>
  <c r="U467" i="13"/>
  <c r="T467" i="13"/>
  <c r="S467" i="13"/>
  <c r="N468" i="13"/>
  <c r="N467" i="13"/>
  <c r="X208" i="13" l="1"/>
  <c r="X467" i="13"/>
  <c r="X468" i="13"/>
  <c r="W440" i="13"/>
  <c r="V440" i="13"/>
  <c r="U440" i="13"/>
  <c r="T440" i="13"/>
  <c r="S440" i="13"/>
  <c r="N440" i="13"/>
  <c r="X440" i="13" l="1"/>
  <c r="M545" i="13" l="1"/>
  <c r="W445" i="13" l="1"/>
  <c r="V445" i="13"/>
  <c r="U445" i="13"/>
  <c r="T445" i="13"/>
  <c r="S445" i="13"/>
  <c r="N445" i="13"/>
  <c r="W367" i="13"/>
  <c r="V367" i="13"/>
  <c r="U367" i="13"/>
  <c r="T367" i="13"/>
  <c r="S367" i="13"/>
  <c r="N367" i="13"/>
  <c r="W366" i="13"/>
  <c r="V366" i="13"/>
  <c r="U366" i="13"/>
  <c r="T366" i="13"/>
  <c r="S366" i="13"/>
  <c r="N366" i="13"/>
  <c r="W365" i="13"/>
  <c r="V365" i="13"/>
  <c r="U365" i="13"/>
  <c r="T365" i="13"/>
  <c r="S365" i="13"/>
  <c r="N365" i="13"/>
  <c r="W364" i="13"/>
  <c r="V364" i="13"/>
  <c r="U364" i="13"/>
  <c r="T364" i="13"/>
  <c r="S364" i="13"/>
  <c r="N364" i="13"/>
  <c r="W363" i="13"/>
  <c r="V363" i="13"/>
  <c r="U363" i="13"/>
  <c r="T363" i="13"/>
  <c r="S363" i="13"/>
  <c r="N363" i="13"/>
  <c r="W362" i="13"/>
  <c r="V362" i="13"/>
  <c r="U362" i="13"/>
  <c r="T362" i="13"/>
  <c r="S362" i="13"/>
  <c r="N362" i="13"/>
  <c r="W90" i="13"/>
  <c r="V90" i="13"/>
  <c r="U90" i="13"/>
  <c r="T90" i="13"/>
  <c r="S90" i="13"/>
  <c r="N90" i="13"/>
  <c r="W89" i="13"/>
  <c r="V89" i="13"/>
  <c r="U89" i="13"/>
  <c r="T89" i="13"/>
  <c r="S89" i="13"/>
  <c r="N89" i="13"/>
  <c r="W88" i="13"/>
  <c r="V88" i="13"/>
  <c r="U88" i="13"/>
  <c r="T88" i="13"/>
  <c r="S88" i="13"/>
  <c r="N88" i="13"/>
  <c r="W87" i="13"/>
  <c r="V87" i="13"/>
  <c r="U87" i="13"/>
  <c r="T87" i="13"/>
  <c r="S87" i="13"/>
  <c r="N87" i="13"/>
  <c r="W86" i="13"/>
  <c r="V86" i="13"/>
  <c r="U86" i="13"/>
  <c r="T86" i="13"/>
  <c r="S86" i="13"/>
  <c r="N86" i="13"/>
  <c r="W85" i="13"/>
  <c r="V85" i="13"/>
  <c r="U85" i="13"/>
  <c r="T85" i="13"/>
  <c r="S85" i="13"/>
  <c r="N85" i="13"/>
  <c r="N84" i="13"/>
  <c r="N83" i="13"/>
  <c r="N82" i="13"/>
  <c r="N81" i="13"/>
  <c r="N80" i="13"/>
  <c r="W84" i="13"/>
  <c r="V84" i="13"/>
  <c r="U84" i="13"/>
  <c r="T84" i="13"/>
  <c r="S84" i="13"/>
  <c r="W83" i="13"/>
  <c r="V83" i="13"/>
  <c r="U83" i="13"/>
  <c r="T83" i="13"/>
  <c r="S83" i="13"/>
  <c r="W82" i="13"/>
  <c r="V82" i="13"/>
  <c r="U82" i="13"/>
  <c r="T82" i="13"/>
  <c r="S82" i="13"/>
  <c r="W81" i="13"/>
  <c r="V81" i="13"/>
  <c r="U81" i="13"/>
  <c r="T81" i="13"/>
  <c r="S81" i="13"/>
  <c r="W80" i="13"/>
  <c r="V80" i="13"/>
  <c r="U80" i="13"/>
  <c r="T80" i="13"/>
  <c r="S80" i="13"/>
  <c r="N44" i="13"/>
  <c r="W44" i="13"/>
  <c r="V44" i="13"/>
  <c r="U44" i="13"/>
  <c r="T44" i="13"/>
  <c r="S44" i="13"/>
  <c r="N330" i="13"/>
  <c r="W330" i="13"/>
  <c r="V330" i="13"/>
  <c r="U330" i="13"/>
  <c r="T330" i="13"/>
  <c r="S330" i="13"/>
  <c r="X445" i="13" l="1"/>
  <c r="X90" i="13"/>
  <c r="X363" i="13"/>
  <c r="X365" i="13"/>
  <c r="X367" i="13"/>
  <c r="X362" i="13"/>
  <c r="X364" i="13"/>
  <c r="X366" i="13"/>
  <c r="X82" i="13"/>
  <c r="X86" i="13"/>
  <c r="X88" i="13"/>
  <c r="X85" i="13"/>
  <c r="X87" i="13"/>
  <c r="X89" i="13"/>
  <c r="X80" i="13"/>
  <c r="X81" i="13"/>
  <c r="X83" i="13"/>
  <c r="X84" i="13"/>
  <c r="X44" i="13"/>
  <c r="X330" i="13"/>
  <c r="N347" i="13" l="1"/>
  <c r="K222" i="13"/>
  <c r="K342" i="13"/>
  <c r="K272" i="13"/>
  <c r="K240" i="13"/>
  <c r="N195" i="13"/>
  <c r="K184" i="13"/>
  <c r="K167" i="13"/>
  <c r="L543" i="13" l="1"/>
  <c r="L545" i="13"/>
  <c r="K545" i="13"/>
  <c r="W302" i="13" l="1"/>
  <c r="V302" i="13"/>
  <c r="U302" i="13"/>
  <c r="T302" i="13"/>
  <c r="S302" i="13"/>
  <c r="N302" i="13"/>
  <c r="W248" i="13"/>
  <c r="V248" i="13"/>
  <c r="U248" i="13"/>
  <c r="T248" i="13"/>
  <c r="S248" i="13"/>
  <c r="N248" i="13"/>
  <c r="W436" i="13"/>
  <c r="V436" i="13"/>
  <c r="U436" i="13"/>
  <c r="T436" i="13"/>
  <c r="S436" i="13"/>
  <c r="N436" i="13"/>
  <c r="W195" i="13"/>
  <c r="V195" i="13"/>
  <c r="U195" i="13"/>
  <c r="T195" i="13"/>
  <c r="S195" i="13"/>
  <c r="W199" i="13"/>
  <c r="V199" i="13"/>
  <c r="U199" i="13"/>
  <c r="T199" i="13"/>
  <c r="S199" i="13"/>
  <c r="N199" i="13"/>
  <c r="W48" i="13"/>
  <c r="V48" i="13"/>
  <c r="U48" i="13"/>
  <c r="T48" i="13"/>
  <c r="S48" i="13"/>
  <c r="W47" i="13"/>
  <c r="V47" i="13"/>
  <c r="U47" i="13"/>
  <c r="T47" i="13"/>
  <c r="S47" i="13"/>
  <c r="W46" i="13"/>
  <c r="V46" i="13"/>
  <c r="U46" i="13"/>
  <c r="T46" i="13"/>
  <c r="S46" i="13"/>
  <c r="W45" i="13"/>
  <c r="V45" i="13"/>
  <c r="U45" i="13"/>
  <c r="T45" i="13"/>
  <c r="S45" i="13"/>
  <c r="W43" i="13"/>
  <c r="V43" i="13"/>
  <c r="U43" i="13"/>
  <c r="T43" i="13"/>
  <c r="S43" i="13"/>
  <c r="W42" i="13"/>
  <c r="V42" i="13"/>
  <c r="U42" i="13"/>
  <c r="T42" i="13"/>
  <c r="S42" i="13"/>
  <c r="W41" i="13"/>
  <c r="V41" i="13"/>
  <c r="U41" i="13"/>
  <c r="T41" i="13"/>
  <c r="S41" i="13"/>
  <c r="N48" i="13"/>
  <c r="N47" i="13"/>
  <c r="N46" i="13"/>
  <c r="N45" i="13"/>
  <c r="N43" i="13"/>
  <c r="N42" i="13"/>
  <c r="N41" i="13"/>
  <c r="N298" i="13"/>
  <c r="W298" i="13"/>
  <c r="V298" i="13"/>
  <c r="U298" i="13"/>
  <c r="T298" i="13"/>
  <c r="S298" i="13"/>
  <c r="N288" i="13"/>
  <c r="N285" i="13"/>
  <c r="X302" i="13" l="1"/>
  <c r="X199" i="13"/>
  <c r="X195" i="13"/>
  <c r="X248" i="13"/>
  <c r="X436" i="13"/>
  <c r="X42" i="13"/>
  <c r="X46" i="13"/>
  <c r="X41" i="13"/>
  <c r="X48" i="13"/>
  <c r="X45" i="13"/>
  <c r="X43" i="13"/>
  <c r="X47" i="13"/>
  <c r="X298" i="13"/>
  <c r="N306" i="13" l="1"/>
  <c r="W306" i="13"/>
  <c r="V306" i="13"/>
  <c r="U306" i="13"/>
  <c r="T306" i="13"/>
  <c r="S306" i="13"/>
  <c r="X306" i="13" l="1"/>
  <c r="E510" i="13" l="1"/>
  <c r="K544" i="13" l="1"/>
  <c r="T17" i="11"/>
  <c r="S17" i="11"/>
  <c r="R17" i="11"/>
  <c r="Q17" i="11"/>
  <c r="P17" i="11"/>
  <c r="K17" i="11"/>
  <c r="W373" i="13"/>
  <c r="V373" i="13"/>
  <c r="U373" i="13"/>
  <c r="T373" i="13"/>
  <c r="S373" i="13"/>
  <c r="N373" i="13"/>
  <c r="W374" i="13"/>
  <c r="V374" i="13"/>
  <c r="U374" i="13"/>
  <c r="T374" i="13"/>
  <c r="S374" i="13"/>
  <c r="N374" i="13"/>
  <c r="W375" i="13"/>
  <c r="V375" i="13"/>
  <c r="U375" i="13"/>
  <c r="T375" i="13"/>
  <c r="S375" i="13"/>
  <c r="N375" i="13"/>
  <c r="W295" i="13"/>
  <c r="V295" i="13"/>
  <c r="U295" i="13"/>
  <c r="T295" i="13"/>
  <c r="S295" i="13"/>
  <c r="N295" i="13"/>
  <c r="W293" i="13"/>
  <c r="V293" i="13"/>
  <c r="U293" i="13"/>
  <c r="T293" i="13"/>
  <c r="S293" i="13"/>
  <c r="N293" i="13"/>
  <c r="W187" i="13"/>
  <c r="V187" i="13"/>
  <c r="U187" i="13"/>
  <c r="T187" i="13"/>
  <c r="S187" i="13"/>
  <c r="N187" i="13"/>
  <c r="W200" i="13"/>
  <c r="V200" i="13"/>
  <c r="U200" i="13"/>
  <c r="T200" i="13"/>
  <c r="S200" i="13"/>
  <c r="N200" i="13"/>
  <c r="W178" i="13"/>
  <c r="V178" i="13"/>
  <c r="U178" i="13"/>
  <c r="T178" i="13"/>
  <c r="S178" i="13"/>
  <c r="N178" i="13"/>
  <c r="W171" i="13"/>
  <c r="V171" i="13"/>
  <c r="U171" i="13"/>
  <c r="T171" i="13"/>
  <c r="S171" i="13"/>
  <c r="N171" i="13"/>
  <c r="W146" i="13"/>
  <c r="V146" i="13"/>
  <c r="U146" i="13"/>
  <c r="T146" i="13"/>
  <c r="S146" i="13"/>
  <c r="N146" i="13"/>
  <c r="N218" i="13"/>
  <c r="X373" i="13" l="1"/>
  <c r="X295" i="13"/>
  <c r="X178" i="13"/>
  <c r="X375" i="13"/>
  <c r="X171" i="13"/>
  <c r="X187" i="13"/>
  <c r="X374" i="13"/>
  <c r="X293" i="13"/>
  <c r="U17" i="11"/>
  <c r="X200" i="13"/>
  <c r="X146" i="13"/>
  <c r="W245" i="13"/>
  <c r="V245" i="13"/>
  <c r="U245" i="13"/>
  <c r="T245" i="13"/>
  <c r="S245" i="13"/>
  <c r="N245" i="13"/>
  <c r="W243" i="13"/>
  <c r="V243" i="13"/>
  <c r="U243" i="13"/>
  <c r="T243" i="13"/>
  <c r="S243" i="13"/>
  <c r="N243" i="13"/>
  <c r="W435" i="13"/>
  <c r="V435" i="13"/>
  <c r="U435" i="13"/>
  <c r="T435" i="13"/>
  <c r="S435" i="13"/>
  <c r="W434" i="13"/>
  <c r="V434" i="13"/>
  <c r="U434" i="13"/>
  <c r="T434" i="13"/>
  <c r="S434" i="13"/>
  <c r="W433" i="13"/>
  <c r="V433" i="13"/>
  <c r="U433" i="13"/>
  <c r="T433" i="13"/>
  <c r="S433" i="13"/>
  <c r="W432" i="13"/>
  <c r="V432" i="13"/>
  <c r="U432" i="13"/>
  <c r="T432" i="13"/>
  <c r="S432" i="13"/>
  <c r="W431" i="13"/>
  <c r="V431" i="13"/>
  <c r="U431" i="13"/>
  <c r="T431" i="13"/>
  <c r="S431" i="13"/>
  <c r="W430" i="13"/>
  <c r="V430" i="13"/>
  <c r="U430" i="13"/>
  <c r="T430" i="13"/>
  <c r="S430" i="13"/>
  <c r="W429" i="13"/>
  <c r="V429" i="13"/>
  <c r="U429" i="13"/>
  <c r="T429" i="13"/>
  <c r="S429" i="13"/>
  <c r="N435" i="13"/>
  <c r="N434" i="13"/>
  <c r="N433" i="13"/>
  <c r="N432" i="13"/>
  <c r="N431" i="13"/>
  <c r="N430" i="13"/>
  <c r="N429" i="13"/>
  <c r="V127" i="13"/>
  <c r="J545" i="13"/>
  <c r="W400" i="13"/>
  <c r="V400" i="13"/>
  <c r="U400" i="13"/>
  <c r="T400" i="13"/>
  <c r="S400" i="13"/>
  <c r="N400" i="13"/>
  <c r="W461" i="13"/>
  <c r="V461" i="13"/>
  <c r="U461" i="13"/>
  <c r="T461" i="13"/>
  <c r="S461" i="13"/>
  <c r="N461" i="13"/>
  <c r="W462" i="13"/>
  <c r="V462" i="13"/>
  <c r="U462" i="13"/>
  <c r="T462" i="13"/>
  <c r="S462" i="13"/>
  <c r="N462" i="13"/>
  <c r="W464" i="13"/>
  <c r="V464" i="13"/>
  <c r="U464" i="13"/>
  <c r="T464" i="13"/>
  <c r="S464" i="13"/>
  <c r="N464" i="13"/>
  <c r="X245" i="13" l="1"/>
  <c r="X243" i="13"/>
  <c r="X432" i="13"/>
  <c r="X435" i="13"/>
  <c r="X431" i="13"/>
  <c r="X429" i="13"/>
  <c r="X434" i="13"/>
  <c r="X430" i="13"/>
  <c r="X433" i="13"/>
  <c r="X400" i="13"/>
  <c r="X461" i="13"/>
  <c r="X462" i="13"/>
  <c r="X464" i="13"/>
  <c r="W161" i="13"/>
  <c r="V161" i="13"/>
  <c r="U161" i="13"/>
  <c r="T161" i="13"/>
  <c r="S161" i="13"/>
  <c r="N161" i="13"/>
  <c r="W158" i="13"/>
  <c r="V158" i="13"/>
  <c r="U158" i="13"/>
  <c r="T158" i="13"/>
  <c r="S158" i="13"/>
  <c r="N158" i="13"/>
  <c r="W264" i="13"/>
  <c r="V264" i="13"/>
  <c r="U264" i="13"/>
  <c r="T264" i="13"/>
  <c r="S264" i="13"/>
  <c r="N264" i="13"/>
  <c r="W259" i="13"/>
  <c r="V259" i="13"/>
  <c r="U259" i="13"/>
  <c r="T259" i="13"/>
  <c r="S259" i="13"/>
  <c r="N259" i="13"/>
  <c r="W165" i="13"/>
  <c r="V165" i="13"/>
  <c r="U165" i="13"/>
  <c r="T165" i="13"/>
  <c r="S165" i="13"/>
  <c r="N165" i="13"/>
  <c r="W164" i="13"/>
  <c r="V164" i="13"/>
  <c r="U164" i="13"/>
  <c r="T164" i="13"/>
  <c r="S164" i="13"/>
  <c r="N164" i="13"/>
  <c r="W157" i="13"/>
  <c r="V157" i="13"/>
  <c r="U157" i="13"/>
  <c r="T157" i="13"/>
  <c r="S157" i="13"/>
  <c r="N157" i="13"/>
  <c r="N127" i="13"/>
  <c r="W127" i="13"/>
  <c r="U127" i="13"/>
  <c r="T127" i="13"/>
  <c r="S127" i="13"/>
  <c r="X158" i="13" l="1"/>
  <c r="X259" i="13"/>
  <c r="X161" i="13"/>
  <c r="X264" i="13"/>
  <c r="X165" i="13"/>
  <c r="X164" i="13"/>
  <c r="X157" i="13"/>
  <c r="X127" i="13"/>
  <c r="N149" i="13" l="1"/>
  <c r="N155" i="13"/>
  <c r="J511" i="13" l="1"/>
  <c r="S474" i="13" l="1"/>
  <c r="S475" i="13"/>
  <c r="S476" i="13"/>
  <c r="S423" i="13"/>
  <c r="S422" i="13"/>
  <c r="S420" i="13"/>
  <c r="S417" i="13"/>
  <c r="S418" i="13"/>
  <c r="S419" i="13"/>
  <c r="S421" i="13"/>
  <c r="S455" i="13"/>
  <c r="S442" i="13"/>
  <c r="S441" i="13"/>
  <c r="S453" i="13"/>
  <c r="S451" i="13"/>
  <c r="S452" i="13"/>
  <c r="S398" i="13"/>
  <c r="S399" i="13"/>
  <c r="S397" i="13"/>
  <c r="S396" i="13"/>
  <c r="S392" i="13"/>
  <c r="S393" i="13"/>
  <c r="S394" i="13"/>
  <c r="S390" i="13"/>
  <c r="S391" i="13"/>
  <c r="S388" i="13"/>
  <c r="S389" i="13"/>
  <c r="S395" i="13"/>
  <c r="S386" i="13"/>
  <c r="S387" i="13"/>
  <c r="S378" i="13"/>
  <c r="S379" i="13"/>
  <c r="S372" i="13"/>
  <c r="S354" i="13"/>
  <c r="S355" i="13"/>
  <c r="S359" i="13"/>
  <c r="S356" i="13"/>
  <c r="S357" i="13"/>
  <c r="S358" i="13"/>
  <c r="S353" i="13"/>
  <c r="S352" i="13"/>
  <c r="S347" i="13"/>
  <c r="S341" i="13"/>
  <c r="S338" i="13"/>
  <c r="S337" i="13"/>
  <c r="S336" i="13"/>
  <c r="S335" i="13"/>
  <c r="S377" i="13"/>
  <c r="S333" i="13"/>
  <c r="S332" i="13"/>
  <c r="S331" i="13"/>
  <c r="S329" i="13"/>
  <c r="S416" i="13"/>
  <c r="S327" i="13"/>
  <c r="S326" i="13"/>
  <c r="S383" i="13"/>
  <c r="S324" i="13"/>
  <c r="S323" i="13"/>
  <c r="S319" i="13"/>
  <c r="S382" i="13"/>
  <c r="S316" i="13"/>
  <c r="S381" i="13"/>
  <c r="S348" i="13"/>
  <c r="S349" i="13"/>
  <c r="S401" i="13"/>
  <c r="S380" i="13"/>
  <c r="S309" i="13"/>
  <c r="S308" i="13"/>
  <c r="S307" i="13"/>
  <c r="S301" i="13"/>
  <c r="S296" i="13"/>
  <c r="S294" i="13"/>
  <c r="S292" i="13"/>
  <c r="S291" i="13"/>
  <c r="S290" i="13"/>
  <c r="S411" i="13"/>
  <c r="S283" i="13"/>
  <c r="S281" i="13"/>
  <c r="S280" i="13"/>
  <c r="S279" i="13"/>
  <c r="S276" i="13"/>
  <c r="S275" i="13"/>
  <c r="S271" i="13"/>
  <c r="S270" i="13"/>
  <c r="S269" i="13"/>
  <c r="S268" i="13"/>
  <c r="S385" i="13"/>
  <c r="S267" i="13"/>
  <c r="S266" i="13"/>
  <c r="S265" i="13"/>
  <c r="S263" i="13"/>
  <c r="S262" i="13"/>
  <c r="S261" i="13"/>
  <c r="S260" i="13"/>
  <c r="S257" i="13"/>
  <c r="S437" i="13"/>
  <c r="S250" i="13"/>
  <c r="S459" i="13"/>
  <c r="S247" i="13"/>
  <c r="S246" i="13"/>
  <c r="S244" i="13"/>
  <c r="S239" i="13"/>
  <c r="S426" i="13"/>
  <c r="S438" i="13"/>
  <c r="S232" i="13"/>
  <c r="S427" i="13"/>
  <c r="S228" i="13"/>
  <c r="S227" i="13"/>
  <c r="S226" i="13"/>
  <c r="S225" i="13"/>
  <c r="S384" i="13"/>
  <c r="S209" i="13"/>
  <c r="S346" i="13"/>
  <c r="S203" i="13"/>
  <c r="S202" i="13"/>
  <c r="S444" i="13"/>
  <c r="S360" i="13"/>
  <c r="S361" i="13"/>
  <c r="S407" i="13"/>
  <c r="S193" i="13"/>
  <c r="S192" i="13"/>
  <c r="S191" i="13"/>
  <c r="S190" i="13"/>
  <c r="S188" i="13"/>
  <c r="S183" i="13"/>
  <c r="S182" i="13"/>
  <c r="S470" i="13"/>
  <c r="S460" i="13"/>
  <c r="S179" i="13"/>
  <c r="S176" i="13"/>
  <c r="S175" i="13"/>
  <c r="S166" i="13"/>
  <c r="S163" i="13"/>
  <c r="S159" i="13"/>
  <c r="S351" i="13"/>
  <c r="S412" i="13"/>
  <c r="S376" i="13"/>
  <c r="S424" i="13"/>
  <c r="S144" i="13"/>
  <c r="S473" i="13"/>
  <c r="S472" i="13"/>
  <c r="S471" i="13"/>
  <c r="S134" i="13"/>
  <c r="S133" i="13"/>
  <c r="S132" i="13"/>
  <c r="S131" i="13"/>
  <c r="S130" i="13"/>
  <c r="S129" i="13"/>
  <c r="S128" i="13"/>
  <c r="S126" i="13"/>
  <c r="S125" i="13"/>
  <c r="S124" i="13"/>
  <c r="S123" i="13"/>
  <c r="S122" i="13"/>
  <c r="S121" i="13"/>
  <c r="S115" i="13"/>
  <c r="S114" i="13"/>
  <c r="S113" i="13"/>
  <c r="S112" i="13"/>
  <c r="S111" i="13"/>
  <c r="S110" i="13"/>
  <c r="S109" i="13"/>
  <c r="S350" i="13"/>
  <c r="S104" i="13"/>
  <c r="S103" i="13"/>
  <c r="S102" i="13"/>
  <c r="S101" i="13"/>
  <c r="S415" i="13"/>
  <c r="S414" i="13"/>
  <c r="S413" i="13"/>
  <c r="S458" i="13"/>
  <c r="S454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50" i="13"/>
  <c r="S449" i="13"/>
  <c r="S443" i="13"/>
  <c r="S457" i="13"/>
  <c r="S456" i="13"/>
  <c r="S446" i="13"/>
  <c r="S447" i="13"/>
  <c r="S448" i="13"/>
  <c r="S40" i="13"/>
  <c r="S39" i="13"/>
  <c r="S38" i="13"/>
  <c r="S37" i="13"/>
  <c r="S36" i="13"/>
  <c r="S35" i="13"/>
  <c r="S34" i="13"/>
  <c r="S33" i="13"/>
  <c r="S32" i="13"/>
  <c r="S31" i="13"/>
  <c r="S371" i="13"/>
  <c r="S370" i="13"/>
  <c r="S369" i="13"/>
  <c r="S368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V549" i="13"/>
  <c r="U549" i="13"/>
  <c r="W384" i="13"/>
  <c r="V384" i="13"/>
  <c r="U384" i="13"/>
  <c r="T549" i="13"/>
  <c r="T384" i="13"/>
  <c r="S212" i="13" l="1"/>
  <c r="S141" i="13"/>
  <c r="S477" i="13"/>
  <c r="S547" i="13"/>
  <c r="S541" i="13"/>
  <c r="S542" i="13"/>
  <c r="S546" i="13"/>
  <c r="S545" i="13"/>
  <c r="S544" i="13"/>
  <c r="S543" i="13"/>
  <c r="S548" i="13"/>
  <c r="W455" i="13"/>
  <c r="V455" i="13"/>
  <c r="U455" i="13"/>
  <c r="W442" i="13"/>
  <c r="V442" i="13"/>
  <c r="U442" i="13"/>
  <c r="W441" i="13"/>
  <c r="V441" i="13"/>
  <c r="U441" i="13"/>
  <c r="X549" i="13" l="1"/>
  <c r="XFD477" i="13"/>
  <c r="XFD342" i="13"/>
  <c r="XFD272" i="13"/>
  <c r="XFD240" i="13"/>
  <c r="XFD222" i="13"/>
  <c r="XFD212" i="13"/>
  <c r="XFD184" i="13"/>
  <c r="XFD167" i="13"/>
  <c r="M512" i="13" l="1"/>
  <c r="M511" i="13"/>
  <c r="K511" i="13"/>
  <c r="L511" i="13"/>
  <c r="J33" i="11"/>
  <c r="J32" i="11"/>
  <c r="J31" i="11"/>
  <c r="J30" i="11"/>
  <c r="J29" i="11"/>
  <c r="I33" i="11"/>
  <c r="I32" i="11"/>
  <c r="I31" i="11"/>
  <c r="I30" i="11"/>
  <c r="I29" i="11"/>
  <c r="H33" i="11"/>
  <c r="H32" i="11"/>
  <c r="H31" i="11"/>
  <c r="H30" i="11"/>
  <c r="H29" i="11"/>
  <c r="G33" i="11"/>
  <c r="G32" i="11"/>
  <c r="G31" i="11"/>
  <c r="G30" i="11"/>
  <c r="G29" i="11"/>
  <c r="BK25" i="9" l="1"/>
  <c r="BJ25" i="9"/>
  <c r="BI25" i="9"/>
  <c r="BH25" i="9"/>
  <c r="BE25" i="9"/>
  <c r="BG25" i="9" s="1"/>
  <c r="AQ25" i="9"/>
  <c r="AS25" i="9" s="1"/>
  <c r="AJ25" i="9"/>
  <c r="AL25" i="9" s="1"/>
  <c r="AX25" i="9"/>
  <c r="AZ25" i="9" s="1"/>
  <c r="AC25" i="9"/>
  <c r="AE25" i="9" s="1"/>
  <c r="V25" i="9"/>
  <c r="X25" i="9" s="1"/>
  <c r="O25" i="9"/>
  <c r="Q25" i="9" s="1"/>
  <c r="BK24" i="9"/>
  <c r="BJ24" i="9"/>
  <c r="BI24" i="9"/>
  <c r="BH24" i="9"/>
  <c r="BE24" i="9"/>
  <c r="BG24" i="9" s="1"/>
  <c r="AQ24" i="9"/>
  <c r="AS24" i="9" s="1"/>
  <c r="AJ24" i="9"/>
  <c r="AL24" i="9" s="1"/>
  <c r="AX24" i="9"/>
  <c r="AZ24" i="9" s="1"/>
  <c r="AC24" i="9"/>
  <c r="AE24" i="9" s="1"/>
  <c r="V24" i="9"/>
  <c r="X24" i="9" s="1"/>
  <c r="O24" i="9"/>
  <c r="Q24" i="9" s="1"/>
  <c r="BK23" i="9"/>
  <c r="BJ23" i="9"/>
  <c r="BI23" i="9"/>
  <c r="BH23" i="9"/>
  <c r="BE23" i="9"/>
  <c r="BG23" i="9" s="1"/>
  <c r="AQ23" i="9"/>
  <c r="AS23" i="9" s="1"/>
  <c r="AJ23" i="9"/>
  <c r="AL23" i="9" s="1"/>
  <c r="AX23" i="9"/>
  <c r="AZ23" i="9" s="1"/>
  <c r="AC23" i="9"/>
  <c r="AE23" i="9" s="1"/>
  <c r="V23" i="9"/>
  <c r="X23" i="9" s="1"/>
  <c r="O23" i="9"/>
  <c r="Q23" i="9" s="1"/>
  <c r="BK22" i="9"/>
  <c r="BJ22" i="9"/>
  <c r="BI22" i="9"/>
  <c r="BH22" i="9"/>
  <c r="BE22" i="9"/>
  <c r="BG22" i="9" s="1"/>
  <c r="AQ22" i="9"/>
  <c r="AS22" i="9" s="1"/>
  <c r="AJ22" i="9"/>
  <c r="AL22" i="9" s="1"/>
  <c r="AX22" i="9"/>
  <c r="AZ22" i="9" s="1"/>
  <c r="AC22" i="9"/>
  <c r="AE22" i="9" s="1"/>
  <c r="V22" i="9"/>
  <c r="X22" i="9" s="1"/>
  <c r="O22" i="9"/>
  <c r="Q22" i="9" s="1"/>
  <c r="BK21" i="9"/>
  <c r="BJ21" i="9"/>
  <c r="BI21" i="9"/>
  <c r="BH21" i="9"/>
  <c r="BE21" i="9"/>
  <c r="BG21" i="9" s="1"/>
  <c r="AQ21" i="9"/>
  <c r="AS21" i="9" s="1"/>
  <c r="AJ21" i="9"/>
  <c r="AL21" i="9" s="1"/>
  <c r="AX21" i="9"/>
  <c r="AZ21" i="9" s="1"/>
  <c r="AC21" i="9"/>
  <c r="AE21" i="9" s="1"/>
  <c r="V21" i="9"/>
  <c r="X21" i="9" s="1"/>
  <c r="O21" i="9"/>
  <c r="Q21" i="9" s="1"/>
  <c r="BK20" i="9"/>
  <c r="BJ20" i="9"/>
  <c r="BI20" i="9"/>
  <c r="BH20" i="9"/>
  <c r="BE20" i="9"/>
  <c r="BG20" i="9" s="1"/>
  <c r="AQ20" i="9"/>
  <c r="AS20" i="9" s="1"/>
  <c r="AJ20" i="9"/>
  <c r="AL20" i="9" s="1"/>
  <c r="AX20" i="9"/>
  <c r="AZ20" i="9" s="1"/>
  <c r="AC20" i="9"/>
  <c r="AE20" i="9" s="1"/>
  <c r="V20" i="9"/>
  <c r="X20" i="9" s="1"/>
  <c r="O20" i="9"/>
  <c r="Q20" i="9" s="1"/>
  <c r="BK19" i="9"/>
  <c r="BJ19" i="9"/>
  <c r="BI19" i="9"/>
  <c r="BH19" i="9"/>
  <c r="BE19" i="9"/>
  <c r="BG19" i="9" s="1"/>
  <c r="AQ19" i="9"/>
  <c r="AS19" i="9" s="1"/>
  <c r="AJ19" i="9"/>
  <c r="AL19" i="9" s="1"/>
  <c r="AX19" i="9"/>
  <c r="AZ19" i="9" s="1"/>
  <c r="AC19" i="9"/>
  <c r="AE19" i="9" s="1"/>
  <c r="V19" i="9"/>
  <c r="X19" i="9" s="1"/>
  <c r="O19" i="9"/>
  <c r="Q19" i="9" s="1"/>
  <c r="BK18" i="9"/>
  <c r="BJ18" i="9"/>
  <c r="BI18" i="9"/>
  <c r="BH18" i="9"/>
  <c r="BE18" i="9"/>
  <c r="BG18" i="9" s="1"/>
  <c r="AQ18" i="9"/>
  <c r="AS18" i="9" s="1"/>
  <c r="AJ18" i="9"/>
  <c r="AL18" i="9" s="1"/>
  <c r="AX18" i="9"/>
  <c r="AZ18" i="9" s="1"/>
  <c r="AC18" i="9"/>
  <c r="AE18" i="9" s="1"/>
  <c r="V18" i="9"/>
  <c r="X18" i="9" s="1"/>
  <c r="O18" i="9"/>
  <c r="Q18" i="9" s="1"/>
  <c r="BK17" i="9"/>
  <c r="BJ17" i="9"/>
  <c r="BI17" i="9"/>
  <c r="BH17" i="9"/>
  <c r="BE17" i="9"/>
  <c r="BG17" i="9" s="1"/>
  <c r="AQ17" i="9"/>
  <c r="AS17" i="9" s="1"/>
  <c r="AJ17" i="9"/>
  <c r="AL17" i="9" s="1"/>
  <c r="AX17" i="9"/>
  <c r="AZ17" i="9" s="1"/>
  <c r="AC17" i="9"/>
  <c r="AE17" i="9" s="1"/>
  <c r="V17" i="9"/>
  <c r="X17" i="9" s="1"/>
  <c r="O17" i="9"/>
  <c r="Q17" i="9" s="1"/>
  <c r="BK16" i="9"/>
  <c r="BJ16" i="9"/>
  <c r="BI16" i="9"/>
  <c r="BH16" i="9"/>
  <c r="BE16" i="9"/>
  <c r="BG16" i="9" s="1"/>
  <c r="AQ16" i="9"/>
  <c r="AS16" i="9" s="1"/>
  <c r="AJ16" i="9"/>
  <c r="AL16" i="9" s="1"/>
  <c r="AX16" i="9"/>
  <c r="AZ16" i="9" s="1"/>
  <c r="AC16" i="9"/>
  <c r="AE16" i="9" s="1"/>
  <c r="V16" i="9"/>
  <c r="X16" i="9" s="1"/>
  <c r="O16" i="9"/>
  <c r="Q16" i="9" s="1"/>
  <c r="BK15" i="9"/>
  <c r="BJ15" i="9"/>
  <c r="BI15" i="9"/>
  <c r="BH15" i="9"/>
  <c r="BE15" i="9"/>
  <c r="BG15" i="9" s="1"/>
  <c r="AQ15" i="9"/>
  <c r="AS15" i="9" s="1"/>
  <c r="AJ15" i="9"/>
  <c r="AL15" i="9" s="1"/>
  <c r="AX15" i="9"/>
  <c r="AZ15" i="9" s="1"/>
  <c r="AC15" i="9"/>
  <c r="AE15" i="9" s="1"/>
  <c r="V15" i="9"/>
  <c r="X15" i="9" s="1"/>
  <c r="O15" i="9"/>
  <c r="Q15" i="9" s="1"/>
  <c r="H15" i="9"/>
  <c r="J15" i="9" s="1"/>
  <c r="BK14" i="9"/>
  <c r="BJ14" i="9"/>
  <c r="BI14" i="9"/>
  <c r="BH14" i="9"/>
  <c r="BE14" i="9"/>
  <c r="BG14" i="9" s="1"/>
  <c r="AQ14" i="9"/>
  <c r="AS14" i="9" s="1"/>
  <c r="AJ14" i="9"/>
  <c r="AL14" i="9" s="1"/>
  <c r="AX14" i="9"/>
  <c r="AZ14" i="9" s="1"/>
  <c r="AC14" i="9"/>
  <c r="AE14" i="9" s="1"/>
  <c r="V14" i="9"/>
  <c r="X14" i="9" s="1"/>
  <c r="O14" i="9"/>
  <c r="Q14" i="9" s="1"/>
  <c r="H14" i="9"/>
  <c r="J14" i="9" s="1"/>
  <c r="BK13" i="9"/>
  <c r="BJ13" i="9"/>
  <c r="BI13" i="9"/>
  <c r="BH13" i="9"/>
  <c r="BE13" i="9"/>
  <c r="BG13" i="9" s="1"/>
  <c r="AQ13" i="9"/>
  <c r="AS13" i="9" s="1"/>
  <c r="AJ13" i="9"/>
  <c r="AL13" i="9" s="1"/>
  <c r="AX13" i="9"/>
  <c r="AZ13" i="9" s="1"/>
  <c r="AC13" i="9"/>
  <c r="AE13" i="9" s="1"/>
  <c r="V13" i="9"/>
  <c r="X13" i="9" s="1"/>
  <c r="O13" i="9"/>
  <c r="Q13" i="9" s="1"/>
  <c r="BK12" i="9"/>
  <c r="BJ12" i="9"/>
  <c r="BI12" i="9"/>
  <c r="BH12" i="9"/>
  <c r="BE12" i="9"/>
  <c r="BG12" i="9" s="1"/>
  <c r="AQ12" i="9"/>
  <c r="AS12" i="9" s="1"/>
  <c r="AJ12" i="9"/>
  <c r="AL12" i="9" s="1"/>
  <c r="AX12" i="9"/>
  <c r="AZ12" i="9" s="1"/>
  <c r="AC12" i="9"/>
  <c r="AE12" i="9" s="1"/>
  <c r="V12" i="9"/>
  <c r="X12" i="9" s="1"/>
  <c r="O12" i="9"/>
  <c r="Q12" i="9" s="1"/>
  <c r="BK11" i="9"/>
  <c r="BJ11" i="9"/>
  <c r="BI11" i="9"/>
  <c r="BH11" i="9"/>
  <c r="BE11" i="9"/>
  <c r="BG11" i="9" s="1"/>
  <c r="AQ11" i="9"/>
  <c r="AS11" i="9" s="1"/>
  <c r="AJ11" i="9"/>
  <c r="AL11" i="9" s="1"/>
  <c r="AX11" i="9"/>
  <c r="AZ11" i="9" s="1"/>
  <c r="AC11" i="9"/>
  <c r="AE11" i="9" s="1"/>
  <c r="V11" i="9"/>
  <c r="X11" i="9" s="1"/>
  <c r="O11" i="9"/>
  <c r="Q11" i="9" s="1"/>
  <c r="BK10" i="9"/>
  <c r="BJ10" i="9"/>
  <c r="BI10" i="9"/>
  <c r="BH10" i="9"/>
  <c r="BE10" i="9"/>
  <c r="BG10" i="9" s="1"/>
  <c r="AQ10" i="9"/>
  <c r="AS10" i="9" s="1"/>
  <c r="AJ10" i="9"/>
  <c r="AL10" i="9" s="1"/>
  <c r="AX10" i="9"/>
  <c r="AZ10" i="9" s="1"/>
  <c r="AC10" i="9"/>
  <c r="AE10" i="9" s="1"/>
  <c r="V10" i="9"/>
  <c r="X10" i="9" s="1"/>
  <c r="O10" i="9"/>
  <c r="Q10" i="9" s="1"/>
  <c r="BK9" i="9"/>
  <c r="BJ9" i="9"/>
  <c r="BI9" i="9"/>
  <c r="BH9" i="9"/>
  <c r="BE9" i="9"/>
  <c r="BG9" i="9" s="1"/>
  <c r="AQ9" i="9"/>
  <c r="AS9" i="9" s="1"/>
  <c r="AJ9" i="9"/>
  <c r="AL9" i="9" s="1"/>
  <c r="AX9" i="9"/>
  <c r="AZ9" i="9" s="1"/>
  <c r="AC9" i="9"/>
  <c r="AE9" i="9" s="1"/>
  <c r="V9" i="9"/>
  <c r="X9" i="9" s="1"/>
  <c r="O9" i="9"/>
  <c r="Q9" i="9" s="1"/>
  <c r="BK8" i="9"/>
  <c r="BJ8" i="9"/>
  <c r="BI8" i="9"/>
  <c r="BH8" i="9"/>
  <c r="BE8" i="9"/>
  <c r="BG8" i="9" s="1"/>
  <c r="AQ8" i="9"/>
  <c r="AS8" i="9" s="1"/>
  <c r="AJ8" i="9"/>
  <c r="AL8" i="9" s="1"/>
  <c r="AX8" i="9"/>
  <c r="AZ8" i="9" s="1"/>
  <c r="AC8" i="9"/>
  <c r="AE8" i="9" s="1"/>
  <c r="V8" i="9"/>
  <c r="X8" i="9" s="1"/>
  <c r="O8" i="9"/>
  <c r="Q8" i="9" s="1"/>
  <c r="BK7" i="9"/>
  <c r="BJ7" i="9"/>
  <c r="BI7" i="9"/>
  <c r="BH7" i="9"/>
  <c r="BE7" i="9"/>
  <c r="BG7" i="9" s="1"/>
  <c r="AQ7" i="9"/>
  <c r="AS7" i="9" s="1"/>
  <c r="AJ7" i="9"/>
  <c r="AL7" i="9" s="1"/>
  <c r="AX7" i="9"/>
  <c r="AZ7" i="9" s="1"/>
  <c r="AC7" i="9"/>
  <c r="AE7" i="9" s="1"/>
  <c r="V7" i="9"/>
  <c r="X7" i="9" s="1"/>
  <c r="O7" i="9"/>
  <c r="Q7" i="9" s="1"/>
  <c r="BK6" i="9"/>
  <c r="BJ6" i="9"/>
  <c r="BI6" i="9"/>
  <c r="BH6" i="9"/>
  <c r="BE6" i="9"/>
  <c r="BG6" i="9" s="1"/>
  <c r="AQ6" i="9"/>
  <c r="AS6" i="9" s="1"/>
  <c r="AJ6" i="9"/>
  <c r="AL6" i="9" s="1"/>
  <c r="AX6" i="9"/>
  <c r="AZ6" i="9" s="1"/>
  <c r="AC6" i="9"/>
  <c r="AE6" i="9" s="1"/>
  <c r="V6" i="9"/>
  <c r="X6" i="9" s="1"/>
  <c r="BK5" i="9"/>
  <c r="BJ5" i="9"/>
  <c r="BI5" i="9"/>
  <c r="BH5" i="9"/>
  <c r="BE5" i="9"/>
  <c r="BG5" i="9" s="1"/>
  <c r="AQ5" i="9"/>
  <c r="AS5" i="9" s="1"/>
  <c r="AJ5" i="9"/>
  <c r="AL5" i="9" s="1"/>
  <c r="AX5" i="9"/>
  <c r="AZ5" i="9" s="1"/>
  <c r="AC5" i="9"/>
  <c r="AE5" i="9" s="1"/>
  <c r="V5" i="9"/>
  <c r="X5" i="9" s="1"/>
  <c r="Q71" i="8"/>
  <c r="N72" i="8"/>
  <c r="K72" i="8"/>
  <c r="O62" i="8"/>
  <c r="F61" i="8"/>
  <c r="H61" i="8" s="1"/>
  <c r="O60" i="8"/>
  <c r="Q60" i="8" s="1"/>
  <c r="F60" i="8"/>
  <c r="H60" i="8" s="1"/>
  <c r="O59" i="8"/>
  <c r="Q59" i="8" s="1"/>
  <c r="F59" i="8"/>
  <c r="H59" i="8" s="1"/>
  <c r="O58" i="8"/>
  <c r="Q58" i="8" s="1"/>
  <c r="F58" i="8"/>
  <c r="H58" i="8" s="1"/>
  <c r="O57" i="8"/>
  <c r="Q57" i="8" s="1"/>
  <c r="F57" i="8"/>
  <c r="H57" i="8" s="1"/>
  <c r="O46" i="8"/>
  <c r="Q46" i="8" s="1"/>
  <c r="F46" i="8"/>
  <c r="H46" i="8" s="1"/>
  <c r="O45" i="8"/>
  <c r="Q45" i="8" s="1"/>
  <c r="F45" i="8"/>
  <c r="H45" i="8" s="1"/>
  <c r="O44" i="8"/>
  <c r="Q44" i="8" s="1"/>
  <c r="F44" i="8"/>
  <c r="H44" i="8" s="1"/>
  <c r="Q43" i="8"/>
  <c r="O43" i="8"/>
  <c r="F43" i="8"/>
  <c r="H43" i="8" s="1"/>
  <c r="O40" i="8"/>
  <c r="O39" i="8"/>
  <c r="Q39" i="8" s="1"/>
  <c r="F39" i="8"/>
  <c r="H39" i="8" s="1"/>
  <c r="O38" i="8"/>
  <c r="Q38" i="8" s="1"/>
  <c r="F38" i="8"/>
  <c r="H38" i="8" s="1"/>
  <c r="O37" i="8"/>
  <c r="Q37" i="8" s="1"/>
  <c r="F37" i="8"/>
  <c r="H37" i="8" s="1"/>
  <c r="O36" i="8"/>
  <c r="Q36" i="8" s="1"/>
  <c r="F36" i="8"/>
  <c r="H36" i="8" s="1"/>
  <c r="O54" i="8"/>
  <c r="O53" i="8"/>
  <c r="Q53" i="8" s="1"/>
  <c r="F53" i="8"/>
  <c r="H53" i="8" s="1"/>
  <c r="O52" i="8"/>
  <c r="Q52" i="8" s="1"/>
  <c r="F52" i="8"/>
  <c r="H52" i="8" s="1"/>
  <c r="O51" i="8"/>
  <c r="Q51" i="8" s="1"/>
  <c r="F51" i="8"/>
  <c r="H51" i="8" s="1"/>
  <c r="O50" i="8"/>
  <c r="Q50" i="8" s="1"/>
  <c r="F50" i="8"/>
  <c r="H50" i="8" s="1"/>
  <c r="O33" i="8"/>
  <c r="X32" i="8"/>
  <c r="Z32" i="8" s="1"/>
  <c r="F32" i="8"/>
  <c r="H32" i="8" s="1"/>
  <c r="H71" i="8" s="1"/>
  <c r="X31" i="8"/>
  <c r="Z31" i="8" s="1"/>
  <c r="O31" i="8"/>
  <c r="Q31" i="8" s="1"/>
  <c r="F31" i="8"/>
  <c r="H31" i="8" s="1"/>
  <c r="X30" i="8"/>
  <c r="O30" i="8"/>
  <c r="Q30" i="8" s="1"/>
  <c r="F30" i="8"/>
  <c r="H30" i="8" s="1"/>
  <c r="X29" i="8"/>
  <c r="O29" i="8"/>
  <c r="Q29" i="8" s="1"/>
  <c r="F29" i="8"/>
  <c r="H29" i="8" s="1"/>
  <c r="X28" i="8"/>
  <c r="O28" i="8"/>
  <c r="Q28" i="8" s="1"/>
  <c r="F28" i="8"/>
  <c r="H28" i="8" s="1"/>
  <c r="O24" i="8"/>
  <c r="Q24" i="8" s="1"/>
  <c r="F24" i="8"/>
  <c r="H24" i="8" s="1"/>
  <c r="O23" i="8"/>
  <c r="Q23" i="8" s="1"/>
  <c r="F23" i="8"/>
  <c r="H23" i="8" s="1"/>
  <c r="O22" i="8"/>
  <c r="Q22" i="8" s="1"/>
  <c r="F22" i="8"/>
  <c r="H22" i="8" s="1"/>
  <c r="O21" i="8"/>
  <c r="Q21" i="8" s="1"/>
  <c r="F21" i="8"/>
  <c r="H21" i="8" s="1"/>
  <c r="O18" i="8"/>
  <c r="X17" i="8"/>
  <c r="Z17" i="8" s="1"/>
  <c r="X16" i="8"/>
  <c r="O16" i="8"/>
  <c r="Q16" i="8" s="1"/>
  <c r="F16" i="8"/>
  <c r="H16" i="8" s="1"/>
  <c r="X15" i="8"/>
  <c r="Z15" i="8" s="1"/>
  <c r="O15" i="8"/>
  <c r="Q15" i="8" s="1"/>
  <c r="F15" i="8"/>
  <c r="H15" i="8" s="1"/>
  <c r="X14" i="8"/>
  <c r="O14" i="8"/>
  <c r="Q14" i="8" s="1"/>
  <c r="F14" i="8"/>
  <c r="H14" i="8" s="1"/>
  <c r="X13" i="8"/>
  <c r="Z13" i="8" s="1"/>
  <c r="O13" i="8"/>
  <c r="Q13" i="8" s="1"/>
  <c r="F13" i="8"/>
  <c r="H13" i="8" s="1"/>
  <c r="O10" i="8"/>
  <c r="O9" i="8"/>
  <c r="Q9" i="8" s="1"/>
  <c r="F9" i="8"/>
  <c r="H9" i="8" s="1"/>
  <c r="O8" i="8"/>
  <c r="Q8" i="8" s="1"/>
  <c r="F8" i="8"/>
  <c r="H8" i="8" s="1"/>
  <c r="O7" i="8"/>
  <c r="Q7" i="8" s="1"/>
  <c r="F7" i="8"/>
  <c r="H7" i="8" s="1"/>
  <c r="O6" i="8"/>
  <c r="Q6" i="8" s="1"/>
  <c r="F6" i="8"/>
  <c r="H6" i="8" s="1"/>
  <c r="S89" i="11"/>
  <c r="R89" i="11"/>
  <c r="Q89" i="11"/>
  <c r="U88" i="11"/>
  <c r="P88" i="11"/>
  <c r="K88" i="11"/>
  <c r="J88" i="11"/>
  <c r="I88" i="11"/>
  <c r="H88" i="11"/>
  <c r="G88" i="11"/>
  <c r="U87" i="11"/>
  <c r="P87" i="11"/>
  <c r="K87" i="11"/>
  <c r="J87" i="11"/>
  <c r="I87" i="11"/>
  <c r="H87" i="11"/>
  <c r="G87" i="11"/>
  <c r="U86" i="11"/>
  <c r="P86" i="11"/>
  <c r="K86" i="11"/>
  <c r="J86" i="11"/>
  <c r="I86" i="11"/>
  <c r="H86" i="11"/>
  <c r="G86" i="11"/>
  <c r="U85" i="11"/>
  <c r="P85" i="11"/>
  <c r="K85" i="11"/>
  <c r="J85" i="11"/>
  <c r="I85" i="11"/>
  <c r="H85" i="11"/>
  <c r="G85" i="11"/>
  <c r="U84" i="11"/>
  <c r="P84" i="11"/>
  <c r="K84" i="11"/>
  <c r="J84" i="11"/>
  <c r="I84" i="11"/>
  <c r="H84" i="11"/>
  <c r="G84" i="11"/>
  <c r="U83" i="11"/>
  <c r="P83" i="11"/>
  <c r="K83" i="11"/>
  <c r="J83" i="11"/>
  <c r="I83" i="11"/>
  <c r="H83" i="11"/>
  <c r="G83" i="11"/>
  <c r="U82" i="11"/>
  <c r="P82" i="11"/>
  <c r="K82" i="11"/>
  <c r="J82" i="11"/>
  <c r="I82" i="11"/>
  <c r="H82" i="11"/>
  <c r="G82" i="11"/>
  <c r="U81" i="11"/>
  <c r="P81" i="11"/>
  <c r="K81" i="11"/>
  <c r="J81" i="11"/>
  <c r="I81" i="11"/>
  <c r="H81" i="11"/>
  <c r="G81" i="11"/>
  <c r="U80" i="11"/>
  <c r="U89" i="11" s="1"/>
  <c r="P80" i="11"/>
  <c r="P89" i="11" s="1"/>
  <c r="K80" i="11"/>
  <c r="J80" i="11"/>
  <c r="J89" i="11" s="1"/>
  <c r="I80" i="11"/>
  <c r="I89" i="11" s="1"/>
  <c r="H80" i="11"/>
  <c r="H89" i="11" s="1"/>
  <c r="G80" i="11"/>
  <c r="G89" i="11" s="1"/>
  <c r="G57" i="11"/>
  <c r="J56" i="11"/>
  <c r="I56" i="11"/>
  <c r="H56" i="11"/>
  <c r="G56" i="11"/>
  <c r="J54" i="11"/>
  <c r="I54" i="11"/>
  <c r="H54" i="11"/>
  <c r="G54" i="11"/>
  <c r="J34" i="11"/>
  <c r="I34" i="11"/>
  <c r="H34" i="11"/>
  <c r="G34" i="11"/>
  <c r="J23" i="11"/>
  <c r="I23" i="11"/>
  <c r="H23" i="11"/>
  <c r="G23" i="11"/>
  <c r="T22" i="11"/>
  <c r="S22" i="11"/>
  <c r="R22" i="11"/>
  <c r="Q22" i="11"/>
  <c r="P22" i="11"/>
  <c r="K22" i="11"/>
  <c r="T21" i="11"/>
  <c r="S21" i="11"/>
  <c r="R21" i="11"/>
  <c r="Q21" i="11"/>
  <c r="P21" i="11"/>
  <c r="K21" i="11"/>
  <c r="T20" i="11"/>
  <c r="S20" i="11"/>
  <c r="R20" i="11"/>
  <c r="Q20" i="11"/>
  <c r="P20" i="11"/>
  <c r="K20" i="11"/>
  <c r="T19" i="11"/>
  <c r="S19" i="11"/>
  <c r="R19" i="11"/>
  <c r="Q19" i="11"/>
  <c r="P19" i="11"/>
  <c r="K19" i="11"/>
  <c r="T18" i="11"/>
  <c r="S18" i="11"/>
  <c r="R18" i="11"/>
  <c r="Q18" i="11"/>
  <c r="P18" i="11"/>
  <c r="K18" i="11"/>
  <c r="K30" i="11" s="1"/>
  <c r="T16" i="11"/>
  <c r="S16" i="11"/>
  <c r="R16" i="11"/>
  <c r="Q16" i="11"/>
  <c r="P16" i="11"/>
  <c r="K16" i="11"/>
  <c r="T14" i="11"/>
  <c r="S14" i="11"/>
  <c r="R14" i="11"/>
  <c r="Q14" i="11"/>
  <c r="P14" i="11"/>
  <c r="K14" i="11"/>
  <c r="K31" i="11" s="1"/>
  <c r="J10" i="11"/>
  <c r="J24" i="11" s="1"/>
  <c r="J60" i="11" s="1"/>
  <c r="I10" i="11"/>
  <c r="I24" i="11" s="1"/>
  <c r="N29" i="11" s="1"/>
  <c r="H10" i="11"/>
  <c r="H24" i="11" s="1"/>
  <c r="G10" i="11"/>
  <c r="G24" i="11" s="1"/>
  <c r="T9" i="11"/>
  <c r="S9" i="11"/>
  <c r="R9" i="11"/>
  <c r="Q9" i="11"/>
  <c r="P9" i="11"/>
  <c r="K9" i="11"/>
  <c r="T8" i="11"/>
  <c r="S8" i="11"/>
  <c r="R8" i="11"/>
  <c r="Q8" i="11"/>
  <c r="P8" i="11"/>
  <c r="K8" i="11"/>
  <c r="T7" i="11"/>
  <c r="S7" i="11"/>
  <c r="R7" i="11"/>
  <c r="Q7" i="11"/>
  <c r="P7" i="11"/>
  <c r="K7" i="11"/>
  <c r="T6" i="11"/>
  <c r="S6" i="11"/>
  <c r="R6" i="11"/>
  <c r="Q6" i="11"/>
  <c r="P6" i="11"/>
  <c r="K6" i="11"/>
  <c r="T15" i="11"/>
  <c r="S15" i="11"/>
  <c r="R15" i="11"/>
  <c r="Q15" i="11"/>
  <c r="P15" i="11"/>
  <c r="K15" i="11"/>
  <c r="T3" i="11"/>
  <c r="S3" i="11"/>
  <c r="R3" i="11"/>
  <c r="Q3" i="11"/>
  <c r="P3" i="11"/>
  <c r="K3" i="11"/>
  <c r="K32" i="11" s="1"/>
  <c r="M548" i="13"/>
  <c r="L548" i="13"/>
  <c r="K548" i="13"/>
  <c r="J548" i="13"/>
  <c r="M546" i="13"/>
  <c r="L546" i="13"/>
  <c r="K546" i="13"/>
  <c r="J546" i="13"/>
  <c r="M543" i="13"/>
  <c r="K543" i="13"/>
  <c r="J543" i="13"/>
  <c r="M544" i="13"/>
  <c r="L544" i="13"/>
  <c r="J544" i="13"/>
  <c r="W474" i="13"/>
  <c r="V474" i="13"/>
  <c r="U474" i="13"/>
  <c r="T474" i="13"/>
  <c r="N474" i="13"/>
  <c r="W475" i="13"/>
  <c r="V475" i="13"/>
  <c r="U475" i="13"/>
  <c r="T475" i="13"/>
  <c r="N475" i="13"/>
  <c r="W476" i="13"/>
  <c r="V476" i="13"/>
  <c r="U476" i="13"/>
  <c r="T476" i="13"/>
  <c r="W423" i="13"/>
  <c r="V423" i="13"/>
  <c r="U423" i="13"/>
  <c r="T423" i="13"/>
  <c r="N423" i="13"/>
  <c r="W422" i="13"/>
  <c r="V422" i="13"/>
  <c r="U422" i="13"/>
  <c r="T422" i="13"/>
  <c r="N422" i="13"/>
  <c r="W420" i="13"/>
  <c r="V420" i="13"/>
  <c r="U420" i="13"/>
  <c r="T420" i="13"/>
  <c r="N420" i="13"/>
  <c r="W417" i="13"/>
  <c r="V417" i="13"/>
  <c r="U417" i="13"/>
  <c r="T417" i="13"/>
  <c r="N417" i="13"/>
  <c r="W418" i="13"/>
  <c r="V418" i="13"/>
  <c r="U418" i="13"/>
  <c r="T418" i="13"/>
  <c r="N418" i="13"/>
  <c r="W419" i="13"/>
  <c r="V419" i="13"/>
  <c r="U419" i="13"/>
  <c r="T419" i="13"/>
  <c r="N419" i="13"/>
  <c r="W421" i="13"/>
  <c r="V421" i="13"/>
  <c r="U421" i="13"/>
  <c r="T421" i="13"/>
  <c r="N421" i="13"/>
  <c r="T455" i="13"/>
  <c r="X455" i="13" s="1"/>
  <c r="N455" i="13"/>
  <c r="T442" i="13"/>
  <c r="X442" i="13" s="1"/>
  <c r="N442" i="13"/>
  <c r="T441" i="13"/>
  <c r="X441" i="13" s="1"/>
  <c r="N441" i="13"/>
  <c r="W453" i="13"/>
  <c r="V453" i="13"/>
  <c r="U453" i="13"/>
  <c r="T453" i="13"/>
  <c r="N453" i="13"/>
  <c r="W451" i="13"/>
  <c r="V451" i="13"/>
  <c r="U451" i="13"/>
  <c r="T451" i="13"/>
  <c r="N451" i="13"/>
  <c r="W452" i="13"/>
  <c r="V452" i="13"/>
  <c r="U452" i="13"/>
  <c r="T452" i="13"/>
  <c r="N452" i="13"/>
  <c r="W398" i="13"/>
  <c r="V398" i="13"/>
  <c r="U398" i="13"/>
  <c r="T398" i="13"/>
  <c r="N398" i="13"/>
  <c r="W399" i="13"/>
  <c r="V399" i="13"/>
  <c r="U399" i="13"/>
  <c r="T399" i="13"/>
  <c r="N399" i="13"/>
  <c r="W397" i="13"/>
  <c r="V397" i="13"/>
  <c r="U397" i="13"/>
  <c r="T397" i="13"/>
  <c r="N397" i="13"/>
  <c r="W396" i="13"/>
  <c r="V396" i="13"/>
  <c r="U396" i="13"/>
  <c r="T396" i="13"/>
  <c r="N396" i="13"/>
  <c r="W392" i="13"/>
  <c r="V392" i="13"/>
  <c r="U392" i="13"/>
  <c r="T392" i="13"/>
  <c r="N392" i="13"/>
  <c r="W393" i="13"/>
  <c r="V393" i="13"/>
  <c r="U393" i="13"/>
  <c r="T393" i="13"/>
  <c r="N393" i="13"/>
  <c r="W394" i="13"/>
  <c r="V394" i="13"/>
  <c r="U394" i="13"/>
  <c r="T394" i="13"/>
  <c r="N394" i="13"/>
  <c r="W390" i="13"/>
  <c r="V390" i="13"/>
  <c r="U390" i="13"/>
  <c r="T390" i="13"/>
  <c r="N390" i="13"/>
  <c r="W391" i="13"/>
  <c r="V391" i="13"/>
  <c r="U391" i="13"/>
  <c r="T391" i="13"/>
  <c r="N391" i="13"/>
  <c r="W388" i="13"/>
  <c r="V388" i="13"/>
  <c r="U388" i="13"/>
  <c r="T388" i="13"/>
  <c r="N388" i="13"/>
  <c r="W389" i="13"/>
  <c r="V389" i="13"/>
  <c r="U389" i="13"/>
  <c r="T389" i="13"/>
  <c r="N389" i="13"/>
  <c r="W395" i="13"/>
  <c r="V395" i="13"/>
  <c r="U395" i="13"/>
  <c r="T395" i="13"/>
  <c r="N395" i="13"/>
  <c r="W386" i="13"/>
  <c r="V386" i="13"/>
  <c r="U386" i="13"/>
  <c r="T386" i="13"/>
  <c r="N386" i="13"/>
  <c r="W387" i="13"/>
  <c r="V387" i="13"/>
  <c r="U387" i="13"/>
  <c r="T387" i="13"/>
  <c r="N387" i="13"/>
  <c r="W378" i="13"/>
  <c r="V378" i="13"/>
  <c r="U378" i="13"/>
  <c r="T378" i="13"/>
  <c r="N378" i="13"/>
  <c r="W379" i="13"/>
  <c r="V379" i="13"/>
  <c r="U379" i="13"/>
  <c r="T379" i="13"/>
  <c r="N379" i="13"/>
  <c r="W372" i="13"/>
  <c r="V372" i="13"/>
  <c r="U372" i="13"/>
  <c r="T372" i="13"/>
  <c r="N372" i="13"/>
  <c r="W354" i="13"/>
  <c r="V354" i="13"/>
  <c r="U354" i="13"/>
  <c r="T354" i="13"/>
  <c r="N354" i="13"/>
  <c r="W355" i="13"/>
  <c r="V355" i="13"/>
  <c r="U355" i="13"/>
  <c r="T355" i="13"/>
  <c r="N355" i="13"/>
  <c r="W359" i="13"/>
  <c r="V359" i="13"/>
  <c r="U359" i="13"/>
  <c r="T359" i="13"/>
  <c r="N359" i="13"/>
  <c r="W356" i="13"/>
  <c r="V356" i="13"/>
  <c r="U356" i="13"/>
  <c r="T356" i="13"/>
  <c r="N356" i="13"/>
  <c r="W357" i="13"/>
  <c r="V357" i="13"/>
  <c r="U357" i="13"/>
  <c r="T357" i="13"/>
  <c r="N357" i="13"/>
  <c r="W358" i="13"/>
  <c r="V358" i="13"/>
  <c r="U358" i="13"/>
  <c r="T358" i="13"/>
  <c r="N358" i="13"/>
  <c r="W353" i="13"/>
  <c r="V353" i="13"/>
  <c r="U353" i="13"/>
  <c r="T353" i="13"/>
  <c r="N353" i="13"/>
  <c r="W352" i="13"/>
  <c r="V352" i="13"/>
  <c r="U352" i="13"/>
  <c r="T352" i="13"/>
  <c r="N352" i="13"/>
  <c r="W347" i="13"/>
  <c r="V347" i="13"/>
  <c r="U347" i="13"/>
  <c r="T347" i="13"/>
  <c r="W341" i="13"/>
  <c r="V341" i="13"/>
  <c r="U341" i="13"/>
  <c r="T341" i="13"/>
  <c r="N341" i="13"/>
  <c r="W338" i="13"/>
  <c r="V338" i="13"/>
  <c r="U338" i="13"/>
  <c r="T338" i="13"/>
  <c r="N338" i="13"/>
  <c r="W337" i="13"/>
  <c r="V337" i="13"/>
  <c r="U337" i="13"/>
  <c r="T337" i="13"/>
  <c r="N337" i="13"/>
  <c r="W336" i="13"/>
  <c r="V336" i="13"/>
  <c r="U336" i="13"/>
  <c r="T336" i="13"/>
  <c r="N336" i="13"/>
  <c r="W335" i="13"/>
  <c r="V335" i="13"/>
  <c r="U335" i="13"/>
  <c r="T335" i="13"/>
  <c r="N335" i="13"/>
  <c r="W377" i="13"/>
  <c r="V377" i="13"/>
  <c r="U377" i="13"/>
  <c r="T377" i="13"/>
  <c r="N377" i="13"/>
  <c r="W333" i="13"/>
  <c r="V333" i="13"/>
  <c r="U333" i="13"/>
  <c r="T333" i="13"/>
  <c r="N333" i="13"/>
  <c r="W332" i="13"/>
  <c r="V332" i="13"/>
  <c r="U332" i="13"/>
  <c r="T332" i="13"/>
  <c r="N332" i="13"/>
  <c r="W331" i="13"/>
  <c r="V331" i="13"/>
  <c r="U331" i="13"/>
  <c r="T331" i="13"/>
  <c r="N331" i="13"/>
  <c r="W329" i="13"/>
  <c r="V329" i="13"/>
  <c r="U329" i="13"/>
  <c r="T329" i="13"/>
  <c r="N329" i="13"/>
  <c r="W416" i="13"/>
  <c r="V416" i="13"/>
  <c r="U416" i="13"/>
  <c r="T416" i="13"/>
  <c r="N416" i="13"/>
  <c r="W327" i="13"/>
  <c r="V327" i="13"/>
  <c r="U327" i="13"/>
  <c r="T327" i="13"/>
  <c r="N327" i="13"/>
  <c r="W326" i="13"/>
  <c r="V326" i="13"/>
  <c r="U326" i="13"/>
  <c r="T326" i="13"/>
  <c r="N326" i="13"/>
  <c r="W383" i="13"/>
  <c r="V383" i="13"/>
  <c r="U383" i="13"/>
  <c r="T383" i="13"/>
  <c r="N383" i="13"/>
  <c r="W324" i="13"/>
  <c r="V324" i="13"/>
  <c r="U324" i="13"/>
  <c r="T324" i="13"/>
  <c r="N324" i="13"/>
  <c r="W323" i="13"/>
  <c r="V323" i="13"/>
  <c r="U323" i="13"/>
  <c r="T323" i="13"/>
  <c r="N323" i="13"/>
  <c r="W319" i="13"/>
  <c r="V319" i="13"/>
  <c r="U319" i="13"/>
  <c r="T319" i="13"/>
  <c r="N319" i="13"/>
  <c r="W382" i="13"/>
  <c r="V382" i="13"/>
  <c r="U382" i="13"/>
  <c r="T382" i="13"/>
  <c r="N382" i="13"/>
  <c r="W316" i="13"/>
  <c r="V316" i="13"/>
  <c r="U316" i="13"/>
  <c r="T316" i="13"/>
  <c r="N316" i="13"/>
  <c r="W381" i="13"/>
  <c r="V381" i="13"/>
  <c r="U381" i="13"/>
  <c r="T381" i="13"/>
  <c r="N381" i="13"/>
  <c r="W348" i="13"/>
  <c r="V348" i="13"/>
  <c r="U348" i="13"/>
  <c r="T348" i="13"/>
  <c r="N348" i="13"/>
  <c r="W349" i="13"/>
  <c r="V349" i="13"/>
  <c r="U349" i="13"/>
  <c r="T349" i="13"/>
  <c r="N349" i="13"/>
  <c r="W401" i="13"/>
  <c r="V401" i="13"/>
  <c r="U401" i="13"/>
  <c r="T401" i="13"/>
  <c r="N401" i="13"/>
  <c r="W380" i="13"/>
  <c r="V380" i="13"/>
  <c r="U380" i="13"/>
  <c r="T380" i="13"/>
  <c r="N380" i="13"/>
  <c r="W309" i="13"/>
  <c r="V309" i="13"/>
  <c r="U309" i="13"/>
  <c r="T309" i="13"/>
  <c r="N309" i="13"/>
  <c r="W308" i="13"/>
  <c r="V308" i="13"/>
  <c r="U308" i="13"/>
  <c r="T308" i="13"/>
  <c r="N308" i="13"/>
  <c r="W307" i="13"/>
  <c r="V307" i="13"/>
  <c r="U307" i="13"/>
  <c r="T307" i="13"/>
  <c r="N307" i="13"/>
  <c r="W301" i="13"/>
  <c r="V301" i="13"/>
  <c r="U301" i="13"/>
  <c r="T301" i="13"/>
  <c r="N301" i="13"/>
  <c r="W296" i="13"/>
  <c r="V296" i="13"/>
  <c r="U296" i="13"/>
  <c r="T296" i="13"/>
  <c r="N296" i="13"/>
  <c r="W294" i="13"/>
  <c r="V294" i="13"/>
  <c r="U294" i="13"/>
  <c r="T294" i="13"/>
  <c r="N294" i="13"/>
  <c r="W292" i="13"/>
  <c r="V292" i="13"/>
  <c r="U292" i="13"/>
  <c r="T292" i="13"/>
  <c r="N292" i="13"/>
  <c r="W291" i="13"/>
  <c r="V291" i="13"/>
  <c r="U291" i="13"/>
  <c r="T291" i="13"/>
  <c r="N291" i="13"/>
  <c r="W290" i="13"/>
  <c r="V290" i="13"/>
  <c r="U290" i="13"/>
  <c r="T290" i="13"/>
  <c r="N290" i="13"/>
  <c r="W411" i="13"/>
  <c r="V411" i="13"/>
  <c r="U411" i="13"/>
  <c r="T411" i="13"/>
  <c r="N411" i="13"/>
  <c r="W283" i="13"/>
  <c r="V283" i="13"/>
  <c r="U283" i="13"/>
  <c r="T283" i="13"/>
  <c r="N283" i="13"/>
  <c r="W281" i="13"/>
  <c r="V281" i="13"/>
  <c r="U281" i="13"/>
  <c r="T281" i="13"/>
  <c r="N281" i="13"/>
  <c r="W280" i="13"/>
  <c r="V280" i="13"/>
  <c r="U280" i="13"/>
  <c r="T280" i="13"/>
  <c r="N280" i="13"/>
  <c r="W279" i="13"/>
  <c r="V279" i="13"/>
  <c r="U279" i="13"/>
  <c r="T279" i="13"/>
  <c r="N279" i="13"/>
  <c r="W276" i="13"/>
  <c r="V276" i="13"/>
  <c r="U276" i="13"/>
  <c r="T276" i="13"/>
  <c r="N276" i="13"/>
  <c r="W275" i="13"/>
  <c r="V275" i="13"/>
  <c r="U275" i="13"/>
  <c r="T275" i="13"/>
  <c r="N275" i="13"/>
  <c r="W271" i="13"/>
  <c r="V271" i="13"/>
  <c r="U271" i="13"/>
  <c r="T271" i="13"/>
  <c r="N271" i="13"/>
  <c r="W270" i="13"/>
  <c r="V270" i="13"/>
  <c r="U270" i="13"/>
  <c r="T270" i="13"/>
  <c r="N270" i="13"/>
  <c r="W269" i="13"/>
  <c r="V269" i="13"/>
  <c r="U269" i="13"/>
  <c r="T269" i="13"/>
  <c r="N269" i="13"/>
  <c r="W268" i="13"/>
  <c r="V268" i="13"/>
  <c r="U268" i="13"/>
  <c r="T268" i="13"/>
  <c r="N268" i="13"/>
  <c r="W385" i="13"/>
  <c r="V385" i="13"/>
  <c r="U385" i="13"/>
  <c r="T385" i="13"/>
  <c r="N385" i="13"/>
  <c r="W267" i="13"/>
  <c r="V267" i="13"/>
  <c r="U267" i="13"/>
  <c r="T267" i="13"/>
  <c r="N267" i="13"/>
  <c r="W266" i="13"/>
  <c r="V266" i="13"/>
  <c r="U266" i="13"/>
  <c r="T266" i="13"/>
  <c r="N266" i="13"/>
  <c r="W265" i="13"/>
  <c r="V265" i="13"/>
  <c r="U265" i="13"/>
  <c r="T265" i="13"/>
  <c r="N265" i="13"/>
  <c r="U263" i="13"/>
  <c r="T263" i="13"/>
  <c r="N263" i="13"/>
  <c r="W262" i="13"/>
  <c r="V262" i="13"/>
  <c r="U262" i="13"/>
  <c r="T262" i="13"/>
  <c r="N262" i="13"/>
  <c r="W261" i="13"/>
  <c r="V261" i="13"/>
  <c r="U261" i="13"/>
  <c r="T261" i="13"/>
  <c r="N261" i="13"/>
  <c r="W260" i="13"/>
  <c r="V260" i="13"/>
  <c r="U260" i="13"/>
  <c r="T260" i="13"/>
  <c r="N260" i="13"/>
  <c r="W257" i="13"/>
  <c r="V257" i="13"/>
  <c r="U257" i="13"/>
  <c r="T257" i="13"/>
  <c r="N257" i="13"/>
  <c r="W437" i="13"/>
  <c r="V437" i="13"/>
  <c r="U437" i="13"/>
  <c r="T437" i="13"/>
  <c r="N437" i="13"/>
  <c r="W250" i="13"/>
  <c r="V250" i="13"/>
  <c r="U250" i="13"/>
  <c r="T250" i="13"/>
  <c r="N250" i="13"/>
  <c r="W459" i="13"/>
  <c r="V459" i="13"/>
  <c r="U459" i="13"/>
  <c r="T459" i="13"/>
  <c r="N459" i="13"/>
  <c r="W247" i="13"/>
  <c r="V247" i="13"/>
  <c r="U247" i="13"/>
  <c r="T247" i="13"/>
  <c r="N247" i="13"/>
  <c r="W246" i="13"/>
  <c r="V246" i="13"/>
  <c r="U246" i="13"/>
  <c r="T246" i="13"/>
  <c r="N246" i="13"/>
  <c r="W244" i="13"/>
  <c r="V244" i="13"/>
  <c r="U244" i="13"/>
  <c r="T244" i="13"/>
  <c r="N244" i="13"/>
  <c r="W239" i="13"/>
  <c r="V239" i="13"/>
  <c r="U239" i="13"/>
  <c r="T239" i="13"/>
  <c r="N239" i="13"/>
  <c r="W426" i="13"/>
  <c r="V426" i="13"/>
  <c r="U426" i="13"/>
  <c r="T426" i="13"/>
  <c r="N426" i="13"/>
  <c r="W438" i="13"/>
  <c r="V438" i="13"/>
  <c r="U438" i="13"/>
  <c r="T438" i="13"/>
  <c r="N438" i="13"/>
  <c r="W232" i="13"/>
  <c r="V232" i="13"/>
  <c r="U232" i="13"/>
  <c r="T232" i="13"/>
  <c r="N232" i="13"/>
  <c r="W427" i="13"/>
  <c r="V427" i="13"/>
  <c r="U427" i="13"/>
  <c r="T427" i="13"/>
  <c r="N427" i="13"/>
  <c r="W228" i="13"/>
  <c r="V228" i="13"/>
  <c r="U228" i="13"/>
  <c r="T228" i="13"/>
  <c r="N228" i="13"/>
  <c r="W227" i="13"/>
  <c r="V227" i="13"/>
  <c r="U227" i="13"/>
  <c r="T227" i="13"/>
  <c r="N227" i="13"/>
  <c r="W226" i="13"/>
  <c r="V226" i="13"/>
  <c r="U226" i="13"/>
  <c r="T226" i="13"/>
  <c r="N226" i="13"/>
  <c r="W225" i="13"/>
  <c r="V225" i="13"/>
  <c r="U225" i="13"/>
  <c r="T225" i="13"/>
  <c r="N225" i="13"/>
  <c r="N221" i="13"/>
  <c r="N219" i="13"/>
  <c r="N217" i="13"/>
  <c r="N384" i="13"/>
  <c r="W209" i="13"/>
  <c r="V209" i="13"/>
  <c r="U209" i="13"/>
  <c r="T209" i="13"/>
  <c r="N209" i="13"/>
  <c r="W346" i="13"/>
  <c r="V346" i="13"/>
  <c r="U346" i="13"/>
  <c r="T346" i="13"/>
  <c r="N346" i="13"/>
  <c r="W203" i="13"/>
  <c r="V203" i="13"/>
  <c r="U203" i="13"/>
  <c r="T203" i="13"/>
  <c r="N203" i="13"/>
  <c r="W202" i="13"/>
  <c r="V202" i="13"/>
  <c r="U202" i="13"/>
  <c r="T202" i="13"/>
  <c r="N202" i="13"/>
  <c r="W444" i="13"/>
  <c r="V444" i="13"/>
  <c r="U444" i="13"/>
  <c r="T444" i="13"/>
  <c r="N444" i="13"/>
  <c r="W360" i="13"/>
  <c r="V360" i="13"/>
  <c r="U360" i="13"/>
  <c r="T360" i="13"/>
  <c r="N360" i="13"/>
  <c r="W361" i="13"/>
  <c r="V361" i="13"/>
  <c r="U361" i="13"/>
  <c r="T361" i="13"/>
  <c r="N361" i="13"/>
  <c r="W407" i="13"/>
  <c r="V407" i="13"/>
  <c r="U407" i="13"/>
  <c r="T407" i="13"/>
  <c r="N407" i="13"/>
  <c r="W193" i="13"/>
  <c r="V193" i="13"/>
  <c r="U193" i="13"/>
  <c r="T193" i="13"/>
  <c r="N193" i="13"/>
  <c r="W192" i="13"/>
  <c r="V192" i="13"/>
  <c r="U192" i="13"/>
  <c r="T192" i="13"/>
  <c r="N192" i="13"/>
  <c r="W191" i="13"/>
  <c r="V191" i="13"/>
  <c r="U191" i="13"/>
  <c r="T191" i="13"/>
  <c r="N191" i="13"/>
  <c r="W190" i="13"/>
  <c r="V190" i="13"/>
  <c r="U190" i="13"/>
  <c r="T190" i="13"/>
  <c r="N190" i="13"/>
  <c r="W188" i="13"/>
  <c r="V188" i="13"/>
  <c r="U188" i="13"/>
  <c r="T188" i="13"/>
  <c r="N188" i="13"/>
  <c r="W183" i="13"/>
  <c r="V183" i="13"/>
  <c r="U183" i="13"/>
  <c r="T183" i="13"/>
  <c r="N183" i="13"/>
  <c r="W182" i="13"/>
  <c r="V182" i="13"/>
  <c r="U182" i="13"/>
  <c r="T182" i="13"/>
  <c r="N182" i="13"/>
  <c r="W470" i="13"/>
  <c r="V470" i="13"/>
  <c r="U470" i="13"/>
  <c r="T470" i="13"/>
  <c r="N470" i="13"/>
  <c r="W460" i="13"/>
  <c r="V460" i="13"/>
  <c r="U460" i="13"/>
  <c r="T460" i="13"/>
  <c r="N460" i="13"/>
  <c r="W179" i="13"/>
  <c r="V179" i="13"/>
  <c r="U179" i="13"/>
  <c r="T179" i="13"/>
  <c r="N179" i="13"/>
  <c r="W176" i="13"/>
  <c r="V176" i="13"/>
  <c r="U176" i="13"/>
  <c r="T176" i="13"/>
  <c r="N176" i="13"/>
  <c r="W175" i="13"/>
  <c r="V175" i="13"/>
  <c r="U175" i="13"/>
  <c r="T175" i="13"/>
  <c r="N175" i="13"/>
  <c r="W166" i="13"/>
  <c r="V166" i="13"/>
  <c r="U166" i="13"/>
  <c r="T166" i="13"/>
  <c r="N166" i="13"/>
  <c r="W163" i="13"/>
  <c r="V163" i="13"/>
  <c r="U163" i="13"/>
  <c r="T163" i="13"/>
  <c r="N163" i="13"/>
  <c r="W159" i="13"/>
  <c r="V159" i="13"/>
  <c r="U159" i="13"/>
  <c r="T159" i="13"/>
  <c r="N159" i="13"/>
  <c r="W351" i="13"/>
  <c r="V351" i="13"/>
  <c r="U351" i="13"/>
  <c r="T351" i="13"/>
  <c r="N351" i="13"/>
  <c r="W412" i="13"/>
  <c r="V412" i="13"/>
  <c r="U412" i="13"/>
  <c r="T412" i="13"/>
  <c r="N412" i="13"/>
  <c r="W376" i="13"/>
  <c r="V376" i="13"/>
  <c r="U376" i="13"/>
  <c r="T376" i="13"/>
  <c r="N376" i="13"/>
  <c r="W424" i="13"/>
  <c r="V424" i="13"/>
  <c r="U424" i="13"/>
  <c r="T424" i="13"/>
  <c r="N424" i="13"/>
  <c r="W144" i="13"/>
  <c r="V144" i="13"/>
  <c r="U144" i="13"/>
  <c r="T144" i="13"/>
  <c r="N144" i="13"/>
  <c r="W473" i="13"/>
  <c r="V473" i="13"/>
  <c r="U473" i="13"/>
  <c r="T473" i="13"/>
  <c r="N473" i="13"/>
  <c r="W472" i="13"/>
  <c r="V472" i="13"/>
  <c r="U472" i="13"/>
  <c r="T472" i="13"/>
  <c r="N472" i="13"/>
  <c r="W471" i="13"/>
  <c r="V471" i="13"/>
  <c r="U471" i="13"/>
  <c r="T471" i="13"/>
  <c r="N471" i="13"/>
  <c r="W134" i="13"/>
  <c r="V134" i="13"/>
  <c r="U134" i="13"/>
  <c r="T134" i="13"/>
  <c r="N134" i="13"/>
  <c r="W133" i="13"/>
  <c r="V133" i="13"/>
  <c r="U133" i="13"/>
  <c r="T133" i="13"/>
  <c r="N133" i="13"/>
  <c r="W132" i="13"/>
  <c r="V132" i="13"/>
  <c r="U132" i="13"/>
  <c r="T132" i="13"/>
  <c r="N132" i="13"/>
  <c r="W131" i="13"/>
  <c r="V131" i="13"/>
  <c r="U131" i="13"/>
  <c r="T131" i="13"/>
  <c r="N131" i="13"/>
  <c r="W130" i="13"/>
  <c r="V130" i="13"/>
  <c r="U130" i="13"/>
  <c r="T130" i="13"/>
  <c r="N130" i="13"/>
  <c r="W129" i="13"/>
  <c r="V129" i="13"/>
  <c r="U129" i="13"/>
  <c r="T129" i="13"/>
  <c r="N129" i="13"/>
  <c r="W128" i="13"/>
  <c r="V128" i="13"/>
  <c r="U128" i="13"/>
  <c r="T128" i="13"/>
  <c r="N128" i="13"/>
  <c r="W126" i="13"/>
  <c r="V126" i="13"/>
  <c r="U126" i="13"/>
  <c r="T126" i="13"/>
  <c r="N126" i="13"/>
  <c r="W125" i="13"/>
  <c r="V125" i="13"/>
  <c r="U125" i="13"/>
  <c r="T125" i="13"/>
  <c r="N125" i="13"/>
  <c r="W124" i="13"/>
  <c r="V124" i="13"/>
  <c r="U124" i="13"/>
  <c r="T124" i="13"/>
  <c r="N124" i="13"/>
  <c r="W123" i="13"/>
  <c r="V123" i="13"/>
  <c r="U123" i="13"/>
  <c r="T123" i="13"/>
  <c r="N123" i="13"/>
  <c r="W122" i="13"/>
  <c r="V122" i="13"/>
  <c r="U122" i="13"/>
  <c r="T122" i="13"/>
  <c r="N122" i="13"/>
  <c r="W121" i="13"/>
  <c r="V121" i="13"/>
  <c r="U121" i="13"/>
  <c r="T121" i="13"/>
  <c r="N121" i="13"/>
  <c r="W115" i="13"/>
  <c r="V115" i="13"/>
  <c r="U115" i="13"/>
  <c r="T115" i="13"/>
  <c r="N115" i="13"/>
  <c r="W114" i="13"/>
  <c r="V114" i="13"/>
  <c r="U114" i="13"/>
  <c r="T114" i="13"/>
  <c r="N114" i="13"/>
  <c r="W113" i="13"/>
  <c r="V113" i="13"/>
  <c r="U113" i="13"/>
  <c r="T113" i="13"/>
  <c r="N113" i="13"/>
  <c r="W112" i="13"/>
  <c r="V112" i="13"/>
  <c r="U112" i="13"/>
  <c r="T112" i="13"/>
  <c r="N112" i="13"/>
  <c r="W111" i="13"/>
  <c r="V111" i="13"/>
  <c r="U111" i="13"/>
  <c r="T111" i="13"/>
  <c r="N111" i="13"/>
  <c r="W110" i="13"/>
  <c r="V110" i="13"/>
  <c r="U110" i="13"/>
  <c r="T110" i="13"/>
  <c r="N110" i="13"/>
  <c r="W109" i="13"/>
  <c r="V109" i="13"/>
  <c r="U109" i="13"/>
  <c r="T109" i="13"/>
  <c r="N109" i="13"/>
  <c r="W350" i="13"/>
  <c r="V350" i="13"/>
  <c r="U350" i="13"/>
  <c r="T350" i="13"/>
  <c r="N350" i="13"/>
  <c r="W104" i="13"/>
  <c r="V104" i="13"/>
  <c r="U104" i="13"/>
  <c r="T104" i="13"/>
  <c r="N104" i="13"/>
  <c r="W103" i="13"/>
  <c r="V103" i="13"/>
  <c r="U103" i="13"/>
  <c r="T103" i="13"/>
  <c r="N103" i="13"/>
  <c r="W102" i="13"/>
  <c r="V102" i="13"/>
  <c r="U102" i="13"/>
  <c r="T102" i="13"/>
  <c r="N102" i="13"/>
  <c r="W101" i="13"/>
  <c r="V101" i="13"/>
  <c r="U101" i="13"/>
  <c r="T101" i="13"/>
  <c r="N101" i="13"/>
  <c r="W415" i="13"/>
  <c r="V415" i="13"/>
  <c r="U415" i="13"/>
  <c r="T415" i="13"/>
  <c r="N415" i="13"/>
  <c r="W414" i="13"/>
  <c r="V414" i="13"/>
  <c r="U414" i="13"/>
  <c r="T414" i="13"/>
  <c r="N414" i="13"/>
  <c r="W413" i="13"/>
  <c r="V413" i="13"/>
  <c r="U413" i="13"/>
  <c r="T413" i="13"/>
  <c r="N413" i="13"/>
  <c r="W458" i="13"/>
  <c r="V458" i="13"/>
  <c r="U458" i="13"/>
  <c r="T458" i="13"/>
  <c r="N458" i="13"/>
  <c r="W454" i="13"/>
  <c r="V454" i="13"/>
  <c r="U454" i="13"/>
  <c r="T454" i="13"/>
  <c r="N454" i="13"/>
  <c r="W71" i="13"/>
  <c r="V71" i="13"/>
  <c r="U71" i="13"/>
  <c r="T71" i="13"/>
  <c r="N71" i="13"/>
  <c r="W70" i="13"/>
  <c r="V70" i="13"/>
  <c r="U70" i="13"/>
  <c r="T70" i="13"/>
  <c r="N70" i="13"/>
  <c r="W69" i="13"/>
  <c r="V69" i="13"/>
  <c r="U69" i="13"/>
  <c r="T69" i="13"/>
  <c r="N69" i="13"/>
  <c r="W68" i="13"/>
  <c r="V68" i="13"/>
  <c r="U68" i="13"/>
  <c r="T68" i="13"/>
  <c r="N68" i="13"/>
  <c r="W67" i="13"/>
  <c r="V67" i="13"/>
  <c r="U67" i="13"/>
  <c r="T67" i="13"/>
  <c r="N67" i="13"/>
  <c r="W66" i="13"/>
  <c r="V66" i="13"/>
  <c r="U66" i="13"/>
  <c r="T66" i="13"/>
  <c r="N66" i="13"/>
  <c r="W65" i="13"/>
  <c r="V65" i="13"/>
  <c r="U65" i="13"/>
  <c r="T65" i="13"/>
  <c r="N65" i="13"/>
  <c r="W64" i="13"/>
  <c r="V64" i="13"/>
  <c r="U64" i="13"/>
  <c r="T64" i="13"/>
  <c r="N64" i="13"/>
  <c r="W63" i="13"/>
  <c r="V63" i="13"/>
  <c r="U63" i="13"/>
  <c r="T63" i="13"/>
  <c r="N63" i="13"/>
  <c r="W62" i="13"/>
  <c r="V62" i="13"/>
  <c r="U62" i="13"/>
  <c r="T62" i="13"/>
  <c r="N62" i="13"/>
  <c r="W61" i="13"/>
  <c r="V61" i="13"/>
  <c r="U61" i="13"/>
  <c r="T61" i="13"/>
  <c r="N61" i="13"/>
  <c r="W60" i="13"/>
  <c r="V60" i="13"/>
  <c r="U60" i="13"/>
  <c r="T60" i="13"/>
  <c r="N60" i="13"/>
  <c r="W59" i="13"/>
  <c r="V59" i="13"/>
  <c r="U59" i="13"/>
  <c r="T59" i="13"/>
  <c r="N59" i="13"/>
  <c r="W58" i="13"/>
  <c r="V58" i="13"/>
  <c r="U58" i="13"/>
  <c r="T58" i="13"/>
  <c r="N58" i="13"/>
  <c r="W57" i="13"/>
  <c r="V57" i="13"/>
  <c r="U57" i="13"/>
  <c r="T57" i="13"/>
  <c r="N57" i="13"/>
  <c r="W56" i="13"/>
  <c r="V56" i="13"/>
  <c r="U56" i="13"/>
  <c r="T56" i="13"/>
  <c r="N56" i="13"/>
  <c r="W55" i="13"/>
  <c r="V55" i="13"/>
  <c r="U55" i="13"/>
  <c r="T55" i="13"/>
  <c r="N55" i="13"/>
  <c r="W54" i="13"/>
  <c r="V54" i="13"/>
  <c r="U54" i="13"/>
  <c r="T54" i="13"/>
  <c r="N54" i="13"/>
  <c r="W53" i="13"/>
  <c r="V53" i="13"/>
  <c r="U53" i="13"/>
  <c r="T53" i="13"/>
  <c r="N53" i="13"/>
  <c r="W52" i="13"/>
  <c r="V52" i="13"/>
  <c r="U52" i="13"/>
  <c r="T52" i="13"/>
  <c r="N52" i="13"/>
  <c r="W51" i="13"/>
  <c r="V51" i="13"/>
  <c r="U51" i="13"/>
  <c r="T51" i="13"/>
  <c r="N51" i="13"/>
  <c r="W50" i="13"/>
  <c r="V50" i="13"/>
  <c r="U50" i="13"/>
  <c r="T50" i="13"/>
  <c r="N50" i="13"/>
  <c r="W49" i="13"/>
  <c r="V49" i="13"/>
  <c r="U49" i="13"/>
  <c r="T49" i="13"/>
  <c r="N49" i="13"/>
  <c r="W450" i="13"/>
  <c r="V450" i="13"/>
  <c r="U450" i="13"/>
  <c r="T450" i="13"/>
  <c r="N450" i="13"/>
  <c r="W449" i="13"/>
  <c r="V449" i="13"/>
  <c r="U449" i="13"/>
  <c r="T449" i="13"/>
  <c r="N449" i="13"/>
  <c r="W443" i="13"/>
  <c r="V443" i="13"/>
  <c r="U443" i="13"/>
  <c r="T443" i="13"/>
  <c r="N443" i="13"/>
  <c r="W457" i="13"/>
  <c r="V457" i="13"/>
  <c r="U457" i="13"/>
  <c r="T457" i="13"/>
  <c r="N457" i="13"/>
  <c r="W456" i="13"/>
  <c r="V456" i="13"/>
  <c r="U456" i="13"/>
  <c r="T456" i="13"/>
  <c r="N456" i="13"/>
  <c r="W446" i="13"/>
  <c r="V446" i="13"/>
  <c r="U446" i="13"/>
  <c r="T446" i="13"/>
  <c r="N446" i="13"/>
  <c r="W447" i="13"/>
  <c r="V447" i="13"/>
  <c r="U447" i="13"/>
  <c r="T447" i="13"/>
  <c r="N447" i="13"/>
  <c r="W448" i="13"/>
  <c r="V448" i="13"/>
  <c r="U448" i="13"/>
  <c r="T448" i="13"/>
  <c r="N448" i="13"/>
  <c r="W40" i="13"/>
  <c r="V40" i="13"/>
  <c r="U40" i="13"/>
  <c r="T40" i="13"/>
  <c r="N40" i="13"/>
  <c r="W39" i="13"/>
  <c r="V39" i="13"/>
  <c r="U39" i="13"/>
  <c r="T39" i="13"/>
  <c r="N39" i="13"/>
  <c r="W38" i="13"/>
  <c r="V38" i="13"/>
  <c r="U38" i="13"/>
  <c r="T38" i="13"/>
  <c r="N38" i="13"/>
  <c r="W37" i="13"/>
  <c r="V37" i="13"/>
  <c r="U37" i="13"/>
  <c r="T37" i="13"/>
  <c r="N37" i="13"/>
  <c r="W36" i="13"/>
  <c r="V36" i="13"/>
  <c r="U36" i="13"/>
  <c r="T36" i="13"/>
  <c r="N36" i="13"/>
  <c r="W35" i="13"/>
  <c r="V35" i="13"/>
  <c r="U35" i="13"/>
  <c r="T35" i="13"/>
  <c r="N35" i="13"/>
  <c r="W34" i="13"/>
  <c r="V34" i="13"/>
  <c r="U34" i="13"/>
  <c r="T34" i="13"/>
  <c r="N34" i="13"/>
  <c r="W33" i="13"/>
  <c r="V33" i="13"/>
  <c r="U33" i="13"/>
  <c r="T33" i="13"/>
  <c r="N33" i="13"/>
  <c r="W32" i="13"/>
  <c r="V32" i="13"/>
  <c r="U32" i="13"/>
  <c r="T32" i="13"/>
  <c r="N32" i="13"/>
  <c r="W31" i="13"/>
  <c r="V31" i="13"/>
  <c r="U31" i="13"/>
  <c r="T31" i="13"/>
  <c r="N31" i="13"/>
  <c r="W371" i="13"/>
  <c r="V371" i="13"/>
  <c r="U371" i="13"/>
  <c r="T371" i="13"/>
  <c r="N371" i="13"/>
  <c r="W370" i="13"/>
  <c r="V370" i="13"/>
  <c r="U370" i="13"/>
  <c r="T370" i="13"/>
  <c r="N370" i="13"/>
  <c r="W369" i="13"/>
  <c r="V369" i="13"/>
  <c r="U369" i="13"/>
  <c r="T369" i="13"/>
  <c r="N369" i="13"/>
  <c r="W368" i="13"/>
  <c r="V368" i="13"/>
  <c r="U368" i="13"/>
  <c r="T368" i="13"/>
  <c r="N368" i="13"/>
  <c r="W24" i="13"/>
  <c r="V24" i="13"/>
  <c r="U24" i="13"/>
  <c r="T24" i="13"/>
  <c r="N24" i="13"/>
  <c r="W23" i="13"/>
  <c r="V23" i="13"/>
  <c r="U23" i="13"/>
  <c r="T23" i="13"/>
  <c r="N23" i="13"/>
  <c r="W22" i="13"/>
  <c r="V22" i="13"/>
  <c r="U22" i="13"/>
  <c r="T22" i="13"/>
  <c r="N22" i="13"/>
  <c r="W21" i="13"/>
  <c r="V21" i="13"/>
  <c r="U21" i="13"/>
  <c r="T21" i="13"/>
  <c r="N21" i="13"/>
  <c r="W20" i="13"/>
  <c r="V20" i="13"/>
  <c r="U20" i="13"/>
  <c r="T20" i="13"/>
  <c r="N20" i="13"/>
  <c r="W19" i="13"/>
  <c r="V19" i="13"/>
  <c r="U19" i="13"/>
  <c r="T19" i="13"/>
  <c r="N19" i="13"/>
  <c r="W18" i="13"/>
  <c r="V18" i="13"/>
  <c r="U18" i="13"/>
  <c r="T18" i="13"/>
  <c r="N18" i="13"/>
  <c r="W17" i="13"/>
  <c r="V17" i="13"/>
  <c r="U17" i="13"/>
  <c r="T17" i="13"/>
  <c r="N17" i="13"/>
  <c r="W16" i="13"/>
  <c r="V16" i="13"/>
  <c r="U16" i="13"/>
  <c r="T16" i="13"/>
  <c r="N16" i="13"/>
  <c r="W15" i="13"/>
  <c r="V15" i="13"/>
  <c r="U15" i="13"/>
  <c r="T15" i="13"/>
  <c r="N15" i="13"/>
  <c r="W14" i="13"/>
  <c r="V14" i="13"/>
  <c r="U14" i="13"/>
  <c r="T14" i="13"/>
  <c r="N14" i="13"/>
  <c r="W13" i="13"/>
  <c r="V13" i="13"/>
  <c r="U13" i="13"/>
  <c r="T13" i="13"/>
  <c r="N13" i="13"/>
  <c r="W12" i="13"/>
  <c r="V12" i="13"/>
  <c r="U12" i="13"/>
  <c r="T12" i="13"/>
  <c r="N12" i="13"/>
  <c r="W11" i="13"/>
  <c r="V11" i="13"/>
  <c r="U11" i="13"/>
  <c r="T11" i="13"/>
  <c r="N11" i="13"/>
  <c r="I2" i="13"/>
  <c r="W212" i="13" l="1"/>
  <c r="T212" i="13"/>
  <c r="U212" i="13"/>
  <c r="V212" i="13"/>
  <c r="N212" i="13"/>
  <c r="U141" i="13"/>
  <c r="T477" i="13"/>
  <c r="U477" i="13"/>
  <c r="V477" i="13"/>
  <c r="N477" i="13"/>
  <c r="W477" i="13"/>
  <c r="V141" i="13"/>
  <c r="N141" i="13"/>
  <c r="W141" i="13"/>
  <c r="T141" i="13"/>
  <c r="W547" i="13"/>
  <c r="W541" i="13"/>
  <c r="T542" i="13"/>
  <c r="N542" i="13"/>
  <c r="W542" i="13"/>
  <c r="U542" i="13"/>
  <c r="V542" i="13"/>
  <c r="V547" i="13"/>
  <c r="V541" i="13"/>
  <c r="N549" i="13"/>
  <c r="U541" i="13"/>
  <c r="N541" i="13"/>
  <c r="T541" i="13"/>
  <c r="T547" i="13"/>
  <c r="U547" i="13"/>
  <c r="N547" i="13"/>
  <c r="X301" i="13"/>
  <c r="X67" i="13"/>
  <c r="Q40" i="8"/>
  <c r="M72" i="8"/>
  <c r="W548" i="13"/>
  <c r="W545" i="13"/>
  <c r="U545" i="13"/>
  <c r="V543" i="13"/>
  <c r="V548" i="13"/>
  <c r="V545" i="13"/>
  <c r="W543" i="13"/>
  <c r="V544" i="13"/>
  <c r="V546" i="13"/>
  <c r="W544" i="13"/>
  <c r="W546" i="13"/>
  <c r="N167" i="13"/>
  <c r="BL25" i="9"/>
  <c r="B25" i="9" s="1"/>
  <c r="D72" i="8"/>
  <c r="Q68" i="8"/>
  <c r="Q69" i="8"/>
  <c r="X70" i="8"/>
  <c r="Q47" i="8"/>
  <c r="M82" i="11"/>
  <c r="V86" i="11"/>
  <c r="V88" i="11"/>
  <c r="U544" i="13"/>
  <c r="U543" i="13"/>
  <c r="U546" i="13"/>
  <c r="U548" i="13"/>
  <c r="T545" i="13"/>
  <c r="Q70" i="8"/>
  <c r="O71" i="8"/>
  <c r="P71" i="8" s="1"/>
  <c r="O68" i="8"/>
  <c r="O69" i="8"/>
  <c r="O70" i="8"/>
  <c r="L72" i="8"/>
  <c r="H25" i="8"/>
  <c r="U7" i="11"/>
  <c r="H33" i="8"/>
  <c r="X18" i="8"/>
  <c r="X67" i="8"/>
  <c r="Z16" i="8"/>
  <c r="Z70" i="8" s="1"/>
  <c r="H69" i="8"/>
  <c r="F69" i="8"/>
  <c r="C72" i="8"/>
  <c r="F68" i="8"/>
  <c r="H40" i="8"/>
  <c r="Q33" i="8"/>
  <c r="Q54" i="8"/>
  <c r="H62" i="8"/>
  <c r="Q62" i="8"/>
  <c r="H10" i="8"/>
  <c r="Q10" i="8"/>
  <c r="Q67" i="8"/>
  <c r="Q18" i="8"/>
  <c r="Q25" i="8"/>
  <c r="H47" i="8"/>
  <c r="H18" i="8"/>
  <c r="Z14" i="8"/>
  <c r="X68" i="8"/>
  <c r="Z71" i="8"/>
  <c r="H68" i="8"/>
  <c r="O67" i="8"/>
  <c r="X69" i="8"/>
  <c r="X71" i="8"/>
  <c r="Z28" i="8"/>
  <c r="Z67" i="8" s="1"/>
  <c r="E72" i="8"/>
  <c r="H70" i="8"/>
  <c r="F71" i="8"/>
  <c r="G71" i="8" s="1"/>
  <c r="B72" i="8"/>
  <c r="F70" i="8"/>
  <c r="BL5" i="9"/>
  <c r="B5" i="9" s="1"/>
  <c r="BL12" i="9"/>
  <c r="B12" i="9" s="1"/>
  <c r="BL20" i="9"/>
  <c r="B20" i="9" s="1"/>
  <c r="BL8" i="9"/>
  <c r="B8" i="9" s="1"/>
  <c r="BL19" i="9"/>
  <c r="B19" i="9" s="1"/>
  <c r="BL23" i="9"/>
  <c r="B23" i="9" s="1"/>
  <c r="BM24" i="9"/>
  <c r="C24" i="9" s="1"/>
  <c r="BL11" i="9"/>
  <c r="B11" i="9" s="1"/>
  <c r="BM12" i="9"/>
  <c r="C12" i="9" s="1"/>
  <c r="BL21" i="9"/>
  <c r="B21" i="9" s="1"/>
  <c r="BM7" i="9"/>
  <c r="C7" i="9" s="1"/>
  <c r="BL9" i="9"/>
  <c r="B9" i="9" s="1"/>
  <c r="BM11" i="9"/>
  <c r="C11" i="9" s="1"/>
  <c r="BM8" i="9"/>
  <c r="C8" i="9" s="1"/>
  <c r="BL10" i="9"/>
  <c r="B10" i="9" s="1"/>
  <c r="BL24" i="9"/>
  <c r="B24" i="9" s="1"/>
  <c r="BL6" i="9"/>
  <c r="B6" i="9" s="1"/>
  <c r="BL7" i="9"/>
  <c r="B7" i="9" s="1"/>
  <c r="V84" i="11"/>
  <c r="V82" i="11"/>
  <c r="V83" i="11"/>
  <c r="V87" i="11"/>
  <c r="P10" i="11"/>
  <c r="P24" i="11" s="1"/>
  <c r="P25" i="11" s="1"/>
  <c r="L82" i="11"/>
  <c r="M84" i="11"/>
  <c r="U20" i="11"/>
  <c r="N84" i="11"/>
  <c r="P23" i="11"/>
  <c r="U15" i="11"/>
  <c r="V80" i="11"/>
  <c r="V89" i="11" s="1"/>
  <c r="U8" i="11"/>
  <c r="Q23" i="11"/>
  <c r="K54" i="11"/>
  <c r="K29" i="11"/>
  <c r="S24" i="11"/>
  <c r="U19" i="11"/>
  <c r="V85" i="11"/>
  <c r="U6" i="11"/>
  <c r="V81" i="11"/>
  <c r="M85" i="11"/>
  <c r="M81" i="11"/>
  <c r="N82" i="11"/>
  <c r="N85" i="11"/>
  <c r="N81" i="11"/>
  <c r="N86" i="11"/>
  <c r="M83" i="11"/>
  <c r="N83" i="11"/>
  <c r="M87" i="11"/>
  <c r="L83" i="11"/>
  <c r="L86" i="11"/>
  <c r="M88" i="11"/>
  <c r="L88" i="11"/>
  <c r="L84" i="11"/>
  <c r="L80" i="11"/>
  <c r="L89" i="11" s="1"/>
  <c r="L85" i="11"/>
  <c r="L81" i="11"/>
  <c r="L87" i="11"/>
  <c r="N87" i="11"/>
  <c r="M86" i="11"/>
  <c r="N88" i="11"/>
  <c r="T23" i="11"/>
  <c r="K89" i="11"/>
  <c r="O84" i="11" s="1"/>
  <c r="Q10" i="11"/>
  <c r="U22" i="11"/>
  <c r="U9" i="11"/>
  <c r="U16" i="11"/>
  <c r="U3" i="11"/>
  <c r="S23" i="11"/>
  <c r="M80" i="11"/>
  <c r="M89" i="11" s="1"/>
  <c r="K10" i="11"/>
  <c r="K24" i="11" s="1"/>
  <c r="K23" i="11"/>
  <c r="U18" i="11"/>
  <c r="K33" i="11"/>
  <c r="U21" i="11"/>
  <c r="N80" i="11"/>
  <c r="Q24" i="11"/>
  <c r="R24" i="11"/>
  <c r="L31" i="11"/>
  <c r="L33" i="11"/>
  <c r="G55" i="11"/>
  <c r="G60" i="11"/>
  <c r="L30" i="11"/>
  <c r="G59" i="11"/>
  <c r="L29" i="11"/>
  <c r="L32" i="11"/>
  <c r="J25" i="11"/>
  <c r="G58" i="11"/>
  <c r="I60" i="11"/>
  <c r="N30" i="11"/>
  <c r="I59" i="11"/>
  <c r="N33" i="11"/>
  <c r="I55" i="11"/>
  <c r="N32" i="11"/>
  <c r="I58" i="11"/>
  <c r="N31" i="11"/>
  <c r="H55" i="11"/>
  <c r="H59" i="11"/>
  <c r="H60" i="11"/>
  <c r="M30" i="11"/>
  <c r="M33" i="11"/>
  <c r="M29" i="11"/>
  <c r="M32" i="11"/>
  <c r="H58" i="11"/>
  <c r="M31" i="11"/>
  <c r="O31" i="11"/>
  <c r="J58" i="11"/>
  <c r="O32" i="11"/>
  <c r="J59" i="11"/>
  <c r="J55" i="11"/>
  <c r="O33" i="11"/>
  <c r="O29" i="11"/>
  <c r="O30" i="11"/>
  <c r="T24" i="11"/>
  <c r="U14" i="11"/>
  <c r="R23" i="11"/>
  <c r="J35" i="11"/>
  <c r="N545" i="13"/>
  <c r="BM23" i="9"/>
  <c r="C23" i="9" s="1"/>
  <c r="BM5" i="9"/>
  <c r="BM10" i="9"/>
  <c r="C10" i="9" s="1"/>
  <c r="BM25" i="9"/>
  <c r="C25" i="9" s="1"/>
  <c r="BM6" i="9"/>
  <c r="C6" i="9" s="1"/>
  <c r="BM9" i="9"/>
  <c r="C9" i="9" s="1"/>
  <c r="BM20" i="9"/>
  <c r="C20" i="9" s="1"/>
  <c r="BL15" i="9"/>
  <c r="B15" i="9" s="1"/>
  <c r="BM21" i="9"/>
  <c r="C21" i="9" s="1"/>
  <c r="BL16" i="9"/>
  <c r="B16" i="9" s="1"/>
  <c r="BM22" i="9"/>
  <c r="C22" i="9" s="1"/>
  <c r="BL17" i="9"/>
  <c r="B17" i="9" s="1"/>
  <c r="BM13" i="9"/>
  <c r="C13" i="9" s="1"/>
  <c r="BL18" i="9"/>
  <c r="B18" i="9" s="1"/>
  <c r="BM14" i="9"/>
  <c r="C14" i="9" s="1"/>
  <c r="BL22" i="9"/>
  <c r="B22" i="9" s="1"/>
  <c r="BM15" i="9"/>
  <c r="C15" i="9" s="1"/>
  <c r="BL13" i="9"/>
  <c r="B13" i="9" s="1"/>
  <c r="BM16" i="9"/>
  <c r="C16" i="9" s="1"/>
  <c r="BM17" i="9"/>
  <c r="C17" i="9" s="1"/>
  <c r="BM18" i="9"/>
  <c r="C18" i="9" s="1"/>
  <c r="BL14" i="9"/>
  <c r="B14" i="9" s="1"/>
  <c r="BM19" i="9"/>
  <c r="C19" i="9" s="1"/>
  <c r="X33" i="8"/>
  <c r="Z29" i="8"/>
  <c r="Z30" i="8"/>
  <c r="Z69" i="8" s="1"/>
  <c r="T544" i="13"/>
  <c r="T543" i="13"/>
  <c r="T546" i="13"/>
  <c r="T548" i="13"/>
  <c r="H54" i="8"/>
  <c r="H67" i="8"/>
  <c r="F67" i="8"/>
  <c r="X326" i="13"/>
  <c r="U240" i="13"/>
  <c r="X63" i="13"/>
  <c r="V240" i="13"/>
  <c r="T222" i="13"/>
  <c r="X437" i="13"/>
  <c r="T240" i="13"/>
  <c r="X275" i="13"/>
  <c r="T342" i="13"/>
  <c r="W240" i="13"/>
  <c r="T272" i="13"/>
  <c r="W342" i="13"/>
  <c r="U272" i="13"/>
  <c r="V272" i="13"/>
  <c r="V342" i="13"/>
  <c r="U167" i="13"/>
  <c r="W272" i="13"/>
  <c r="S272" i="13"/>
  <c r="N272" i="13"/>
  <c r="X372" i="13"/>
  <c r="N222" i="13"/>
  <c r="S184" i="13"/>
  <c r="N184" i="13"/>
  <c r="U222" i="13"/>
  <c r="T184" i="13"/>
  <c r="V222" i="13"/>
  <c r="U184" i="13"/>
  <c r="W222" i="13"/>
  <c r="V184" i="13"/>
  <c r="X420" i="13"/>
  <c r="W184" i="13"/>
  <c r="X159" i="13"/>
  <c r="S240" i="13"/>
  <c r="N240" i="13"/>
  <c r="X392" i="13"/>
  <c r="T167" i="13"/>
  <c r="V167" i="13"/>
  <c r="X296" i="13"/>
  <c r="W167" i="13"/>
  <c r="S167" i="13"/>
  <c r="X13" i="13"/>
  <c r="X18" i="13"/>
  <c r="X226" i="13"/>
  <c r="X101" i="13"/>
  <c r="X388" i="13"/>
  <c r="X19" i="13"/>
  <c r="X56" i="13"/>
  <c r="X239" i="13"/>
  <c r="X109" i="13"/>
  <c r="X268" i="13"/>
  <c r="X70" i="13"/>
  <c r="X134" i="13"/>
  <c r="X281" i="13"/>
  <c r="X370" i="13"/>
  <c r="X459" i="13"/>
  <c r="X269" i="13"/>
  <c r="X21" i="13"/>
  <c r="X191" i="13"/>
  <c r="X426" i="13"/>
  <c r="X261" i="13"/>
  <c r="X12" i="13"/>
  <c r="X175" i="13"/>
  <c r="X202" i="13"/>
  <c r="X17" i="13"/>
  <c r="X38" i="13"/>
  <c r="X351" i="13"/>
  <c r="X266" i="13"/>
  <c r="X358" i="13"/>
  <c r="X414" i="13"/>
  <c r="X126" i="13"/>
  <c r="X163" i="13"/>
  <c r="X192" i="13"/>
  <c r="X270" i="13"/>
  <c r="X22" i="13"/>
  <c r="X383" i="13"/>
  <c r="X247" i="13"/>
  <c r="X418" i="13"/>
  <c r="X32" i="13"/>
  <c r="X443" i="13"/>
  <c r="X260" i="13"/>
  <c r="X399" i="13"/>
  <c r="X413" i="13"/>
  <c r="X39" i="13"/>
  <c r="X470" i="13"/>
  <c r="X246" i="13"/>
  <c r="X35" i="13"/>
  <c r="X129" i="13"/>
  <c r="X386" i="13"/>
  <c r="X438" i="13"/>
  <c r="X308" i="13"/>
  <c r="X15" i="13"/>
  <c r="X407" i="13"/>
  <c r="X323" i="13"/>
  <c r="X421" i="13"/>
  <c r="X476" i="13"/>
  <c r="X24" i="13"/>
  <c r="X54" i="13"/>
  <c r="X182" i="13"/>
  <c r="X337" i="13"/>
  <c r="X452" i="13"/>
  <c r="X457" i="13"/>
  <c r="N548" i="13"/>
  <c r="X20" i="13"/>
  <c r="X36" i="13"/>
  <c r="X112" i="13"/>
  <c r="X262" i="13"/>
  <c r="X292" i="13"/>
  <c r="X333" i="13"/>
  <c r="X359" i="13"/>
  <c r="X209" i="13"/>
  <c r="X50" i="13"/>
  <c r="X348" i="13"/>
  <c r="X14" i="13"/>
  <c r="X419" i="13"/>
  <c r="X475" i="13"/>
  <c r="X121" i="13"/>
  <c r="X378" i="13"/>
  <c r="X131" i="13"/>
  <c r="X453" i="13"/>
  <c r="X381" i="13"/>
  <c r="X66" i="13"/>
  <c r="X265" i="13"/>
  <c r="X316" i="13"/>
  <c r="X357" i="13"/>
  <c r="X422" i="13"/>
  <c r="X446" i="13"/>
  <c r="X133" i="13"/>
  <c r="X188" i="13"/>
  <c r="X360" i="13"/>
  <c r="X331" i="13"/>
  <c r="X391" i="13"/>
  <c r="X369" i="13"/>
  <c r="X62" i="13"/>
  <c r="X415" i="13"/>
  <c r="X37" i="13"/>
  <c r="X58" i="13"/>
  <c r="X122" i="13"/>
  <c r="X183" i="13"/>
  <c r="X227" i="13"/>
  <c r="X257" i="13"/>
  <c r="X336" i="13"/>
  <c r="X447" i="13"/>
  <c r="X114" i="13"/>
  <c r="X179" i="13"/>
  <c r="X327" i="13"/>
  <c r="X352" i="13"/>
  <c r="X417" i="13"/>
  <c r="N488" i="13"/>
  <c r="X267" i="13"/>
  <c r="X294" i="13"/>
  <c r="X332" i="13"/>
  <c r="X341" i="13"/>
  <c r="X396" i="13"/>
  <c r="M550" i="13"/>
  <c r="X228" i="13"/>
  <c r="X290" i="13"/>
  <c r="X34" i="13"/>
  <c r="X104" i="13"/>
  <c r="X123" i="13"/>
  <c r="X472" i="13"/>
  <c r="X244" i="13"/>
  <c r="X324" i="13"/>
  <c r="X416" i="13"/>
  <c r="X394" i="13"/>
  <c r="X474" i="13"/>
  <c r="X59" i="13"/>
  <c r="X110" i="13"/>
  <c r="X132" i="13"/>
  <c r="X471" i="13"/>
  <c r="X460" i="13"/>
  <c r="X263" i="13"/>
  <c r="X389" i="13"/>
  <c r="N487" i="13"/>
  <c r="X454" i="13"/>
  <c r="X115" i="13"/>
  <c r="X128" i="13"/>
  <c r="X176" i="13"/>
  <c r="X68" i="13"/>
  <c r="X376" i="13"/>
  <c r="X271" i="13"/>
  <c r="X291" i="13"/>
  <c r="X423" i="13"/>
  <c r="X380" i="13"/>
  <c r="X329" i="13"/>
  <c r="X397" i="13"/>
  <c r="X124" i="13"/>
  <c r="X473" i="13"/>
  <c r="X225" i="13"/>
  <c r="X283" i="13"/>
  <c r="X307" i="13"/>
  <c r="X393" i="13"/>
  <c r="X456" i="13"/>
  <c r="X450" i="13"/>
  <c r="X52" i="13"/>
  <c r="X60" i="13"/>
  <c r="X279" i="13"/>
  <c r="X353" i="13"/>
  <c r="X338" i="13"/>
  <c r="X458" i="13"/>
  <c r="X427" i="13"/>
  <c r="X130" i="13"/>
  <c r="X411" i="13"/>
  <c r="X335" i="13"/>
  <c r="X379" i="13"/>
  <c r="X64" i="13"/>
  <c r="X346" i="13"/>
  <c r="X401" i="13"/>
  <c r="X144" i="13"/>
  <c r="X193" i="13"/>
  <c r="X49" i="13"/>
  <c r="X65" i="13"/>
  <c r="X384" i="13"/>
  <c r="X371" i="13"/>
  <c r="X398" i="13"/>
  <c r="X40" i="13"/>
  <c r="X61" i="13"/>
  <c r="X349" i="13"/>
  <c r="X354" i="13"/>
  <c r="X53" i="13"/>
  <c r="X103" i="13"/>
  <c r="X113" i="13"/>
  <c r="X444" i="13"/>
  <c r="X203" i="13"/>
  <c r="X166" i="13"/>
  <c r="X125" i="13"/>
  <c r="X250" i="13"/>
  <c r="X448" i="13"/>
  <c r="X350" i="13"/>
  <c r="X190" i="13"/>
  <c r="X319" i="13"/>
  <c r="X451" i="13"/>
  <c r="X111" i="13"/>
  <c r="X382" i="13"/>
  <c r="X377" i="13"/>
  <c r="N543" i="13"/>
  <c r="X424" i="13"/>
  <c r="X385" i="13"/>
  <c r="X309" i="13"/>
  <c r="X356" i="13"/>
  <c r="X355" i="13"/>
  <c r="X11" i="13"/>
  <c r="X23" i="13"/>
  <c r="X361" i="13"/>
  <c r="N485" i="13"/>
  <c r="X33" i="13"/>
  <c r="X232" i="13"/>
  <c r="X16" i="13"/>
  <c r="X57" i="13"/>
  <c r="X69" i="13"/>
  <c r="N546" i="13"/>
  <c r="X387" i="13"/>
  <c r="N486" i="13"/>
  <c r="X276" i="13"/>
  <c r="X280" i="13"/>
  <c r="X368" i="13"/>
  <c r="K550" i="13"/>
  <c r="X31" i="13"/>
  <c r="X412" i="13"/>
  <c r="L550" i="13"/>
  <c r="X449" i="13"/>
  <c r="X51" i="13"/>
  <c r="X55" i="13"/>
  <c r="X71" i="13"/>
  <c r="X102" i="13"/>
  <c r="X395" i="13"/>
  <c r="X390" i="13"/>
  <c r="N484" i="13"/>
  <c r="J550" i="13"/>
  <c r="N544" i="13"/>
  <c r="X347" i="13"/>
  <c r="O72" i="8" l="1"/>
  <c r="X212" i="13"/>
  <c r="X477" i="13"/>
  <c r="X141" i="13"/>
  <c r="H73" i="8"/>
  <c r="H72" i="8"/>
  <c r="Q72" i="8"/>
  <c r="Q73" i="8"/>
  <c r="C5" i="9"/>
  <c r="C26" i="9" s="1"/>
  <c r="BM26" i="9"/>
  <c r="B26" i="9"/>
  <c r="X546" i="13"/>
  <c r="X545" i="13"/>
  <c r="X543" i="13"/>
  <c r="X548" i="13"/>
  <c r="X544" i="13"/>
  <c r="X547" i="13"/>
  <c r="X541" i="13"/>
  <c r="X542" i="13"/>
  <c r="P70" i="8"/>
  <c r="P67" i="8"/>
  <c r="P68" i="8"/>
  <c r="P69" i="8"/>
  <c r="G68" i="8"/>
  <c r="N34" i="11"/>
  <c r="G67" i="8"/>
  <c r="F72" i="8"/>
  <c r="O73" i="8"/>
  <c r="Z18" i="8"/>
  <c r="M34" i="11"/>
  <c r="X72" i="8"/>
  <c r="G69" i="8"/>
  <c r="G70" i="8"/>
  <c r="Z68" i="8"/>
  <c r="Z72" i="8" s="1"/>
  <c r="Q65" i="8"/>
  <c r="F73" i="8"/>
  <c r="BL26" i="9"/>
  <c r="U10" i="11"/>
  <c r="U24" i="11" s="1"/>
  <c r="U25" i="11" s="1"/>
  <c r="P29" i="11"/>
  <c r="K58" i="11"/>
  <c r="K59" i="11"/>
  <c r="P31" i="11"/>
  <c r="P33" i="11"/>
  <c r="P30" i="11"/>
  <c r="K60" i="11"/>
  <c r="K34" i="11"/>
  <c r="O34" i="11"/>
  <c r="O85" i="11"/>
  <c r="O81" i="11"/>
  <c r="O86" i="11"/>
  <c r="O82" i="11"/>
  <c r="O83" i="11"/>
  <c r="U23" i="11"/>
  <c r="O80" i="11"/>
  <c r="K55" i="11"/>
  <c r="O87" i="11"/>
  <c r="P32" i="11"/>
  <c r="O88" i="11"/>
  <c r="L34" i="11"/>
  <c r="Z33" i="8"/>
  <c r="T550" i="13"/>
  <c r="W550" i="13"/>
  <c r="V550" i="13"/>
  <c r="H65" i="8"/>
  <c r="X222" i="13"/>
  <c r="S222" i="13"/>
  <c r="X240" i="13"/>
  <c r="X184" i="13"/>
  <c r="X272" i="13"/>
  <c r="X167" i="13"/>
  <c r="H76" i="8" l="1"/>
  <c r="X550" i="13"/>
  <c r="P34" i="11"/>
  <c r="N483" i="13" l="1"/>
  <c r="N489" i="13" s="1"/>
  <c r="N342" i="13"/>
  <c r="S342" i="13"/>
  <c r="W564" i="13" l="1"/>
  <c r="W565" i="13" s="1"/>
  <c r="M564" i="13"/>
  <c r="M565" i="13" s="1"/>
  <c r="AA564" i="13"/>
  <c r="V564" i="13"/>
  <c r="U342" i="13"/>
  <c r="N509" i="13"/>
  <c r="X564" i="13" l="1"/>
  <c r="N550" i="13"/>
  <c r="S550" i="13"/>
  <c r="U550" i="13"/>
  <c r="X342" i="13"/>
  <c r="X565" i="13" l="1"/>
  <c r="N564" i="13" l="1"/>
  <c r="N565" i="13" s="1"/>
  <c r="XFD480" i="13"/>
  <c r="J480" i="13" l="1"/>
  <c r="O488" i="13" s="1"/>
  <c r="O483" i="13" l="1"/>
  <c r="O545" i="13"/>
  <c r="O487" i="13"/>
  <c r="O485" i="13"/>
  <c r="O544" i="13"/>
  <c r="J510" i="13"/>
  <c r="J516" i="13"/>
  <c r="J514" i="13"/>
  <c r="O548" i="13"/>
  <c r="J518" i="13"/>
  <c r="O542" i="13"/>
  <c r="O541" i="13"/>
  <c r="O486" i="13"/>
  <c r="O546" i="13"/>
  <c r="O484" i="13"/>
  <c r="J517" i="13"/>
  <c r="J515" i="13"/>
  <c r="O549" i="13"/>
  <c r="O543" i="13"/>
  <c r="O547" i="13"/>
  <c r="U564" i="13" l="1"/>
  <c r="O550" i="13"/>
  <c r="J519" i="13"/>
  <c r="O489" i="13"/>
  <c r="K480" i="13"/>
  <c r="P486" i="13" s="1"/>
  <c r="P483" i="13" l="1"/>
  <c r="K516" i="13"/>
  <c r="P548" i="13"/>
  <c r="P542" i="13"/>
  <c r="P549" i="13"/>
  <c r="P544" i="13"/>
  <c r="K514" i="13"/>
  <c r="K518" i="13"/>
  <c r="P546" i="13"/>
  <c r="K517" i="13"/>
  <c r="P547" i="13"/>
  <c r="P545" i="13"/>
  <c r="P541" i="13"/>
  <c r="K510" i="13"/>
  <c r="P543" i="13"/>
  <c r="K515" i="13"/>
  <c r="P487" i="13"/>
  <c r="P484" i="13"/>
  <c r="P488" i="13"/>
  <c r="P485" i="13"/>
  <c r="P550" i="13" l="1"/>
  <c r="K519" i="13"/>
  <c r="P489" i="13"/>
  <c r="L480" i="13"/>
  <c r="Q542" i="13" l="1"/>
  <c r="L478" i="13"/>
  <c r="L515" i="13"/>
  <c r="L510" i="13"/>
  <c r="Q547" i="13"/>
  <c r="L516" i="13"/>
  <c r="Q545" i="13"/>
  <c r="L517" i="13"/>
  <c r="L518" i="13"/>
  <c r="Q549" i="13"/>
  <c r="Q543" i="13"/>
  <c r="L514" i="13"/>
  <c r="Q486" i="13"/>
  <c r="Q484" i="13"/>
  <c r="Q546" i="13"/>
  <c r="Q487" i="13"/>
  <c r="Q483" i="13"/>
  <c r="Q544" i="13"/>
  <c r="Q541" i="13"/>
  <c r="Q488" i="13"/>
  <c r="Q485" i="13"/>
  <c r="Q548" i="13"/>
  <c r="L519" i="13" l="1"/>
  <c r="Q550" i="13"/>
  <c r="Q489" i="13"/>
  <c r="N480" i="13"/>
  <c r="R544" i="13" s="1"/>
  <c r="N518" i="13" l="1"/>
  <c r="N514" i="13"/>
  <c r="N516" i="13"/>
  <c r="R549" i="13"/>
  <c r="S483" i="13"/>
  <c r="R541" i="13"/>
  <c r="S484" i="13"/>
  <c r="S487" i="13"/>
  <c r="S488" i="13"/>
  <c r="N515" i="13"/>
  <c r="S485" i="13"/>
  <c r="S486" i="13"/>
  <c r="N517" i="13"/>
  <c r="N510" i="13"/>
  <c r="R545" i="13"/>
  <c r="R548" i="13"/>
  <c r="R547" i="13"/>
  <c r="R543" i="13"/>
  <c r="R542" i="13"/>
  <c r="R546" i="13"/>
  <c r="S489" i="13" l="1"/>
  <c r="R550" i="13"/>
  <c r="N519" i="13"/>
  <c r="S480" i="13"/>
  <c r="Z544" i="13" s="1"/>
  <c r="Z549" i="13" l="1"/>
  <c r="Z547" i="13"/>
  <c r="Z545" i="13"/>
  <c r="Z542" i="13"/>
  <c r="Z548" i="13"/>
  <c r="Z543" i="13"/>
  <c r="Z541" i="13"/>
  <c r="Z546" i="13"/>
  <c r="V480" i="13"/>
  <c r="V478" i="13" s="1"/>
  <c r="X480" i="13"/>
  <c r="Z550" i="13" l="1"/>
  <c r="T480" i="13"/>
  <c r="U480" i="13"/>
  <c r="U478" i="13" s="1"/>
  <c r="W480" i="13"/>
  <c r="W478" i="13" s="1"/>
  <c r="T478" i="13" l="1"/>
  <c r="AA549" i="13"/>
  <c r="AA544" i="13"/>
  <c r="AA543" i="13"/>
  <c r="AA542" i="13"/>
  <c r="AA545" i="13"/>
  <c r="AA550" i="13" s="1"/>
  <c r="AA547" i="13"/>
  <c r="AA541" i="13"/>
  <c r="AA548" i="13"/>
  <c r="AA546" i="13"/>
  <c r="M480" i="13"/>
  <c r="M478" i="13" s="1"/>
  <c r="M514" i="13" l="1"/>
  <c r="M515" i="13"/>
  <c r="R486" i="13"/>
  <c r="M516" i="13"/>
  <c r="M517" i="13"/>
  <c r="R484" i="13"/>
  <c r="M510" i="13"/>
  <c r="M518" i="13"/>
  <c r="R487" i="13"/>
  <c r="R488" i="13"/>
  <c r="R483" i="13"/>
  <c r="R485" i="13"/>
  <c r="R489" i="13" l="1"/>
  <c r="M519" i="13"/>
</calcChain>
</file>

<file path=xl/comments1.xml><?xml version="1.0" encoding="utf-8"?>
<comments xmlns="http://schemas.openxmlformats.org/spreadsheetml/2006/main">
  <authors>
    <author>oddbjørn</author>
  </authors>
  <commentList>
    <comment ref="T3" authorId="0" shape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U3" authorId="0" shape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V3" authorId="0" shape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W3" authorId="0" shape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X3" authorId="0" shapeId="0">
      <text>
        <r>
          <rPr>
            <b/>
            <sz val="8"/>
            <color indexed="81"/>
            <rFont val="Tahoma"/>
            <family val="2"/>
          </rPr>
          <t>kostnaden er begrenset oppad til prisgrensen.</t>
        </r>
      </text>
    </comment>
  </commentList>
</comments>
</file>

<file path=xl/comments2.xml><?xml version="1.0" encoding="utf-8"?>
<comments xmlns="http://schemas.openxmlformats.org/spreadsheetml/2006/main">
  <authors>
    <author>oddbjørn</author>
  </authors>
  <commentList>
    <comment ref="Q1" authorId="0" shape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R1" authorId="0" shape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S1" authorId="0" shape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T1" authorId="0" shape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U1" authorId="0" shape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</commentList>
</comments>
</file>

<file path=xl/comments3.xml><?xml version="1.0" encoding="utf-8"?>
<comments xmlns="http://schemas.openxmlformats.org/spreadsheetml/2006/main">
  <authors>
    <author>a118015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Kun de som NAV betaler for, ikke garantier.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a118015</author>
  </authors>
  <commentList>
    <comment ref="A46" authorId="0" shapeId="0">
      <text>
        <r>
          <rPr>
            <b/>
            <sz val="8"/>
            <color indexed="81"/>
            <rFont val="Tahoma"/>
            <family val="2"/>
          </rPr>
          <t>Kun de som NAV betaler for, ikke garantier.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<sst xmlns="http://schemas.openxmlformats.org/spreadsheetml/2006/main" count="3792" uniqueCount="1034">
  <si>
    <t>Gewa</t>
  </si>
  <si>
    <t>Medisan</t>
  </si>
  <si>
    <t>Oticon</t>
  </si>
  <si>
    <t>Phonak</t>
  </si>
  <si>
    <t>Starkey</t>
  </si>
  <si>
    <t>sum</t>
  </si>
  <si>
    <t>Sum</t>
  </si>
  <si>
    <t>antall</t>
  </si>
  <si>
    <t>BTE</t>
  </si>
  <si>
    <t>ITE</t>
  </si>
  <si>
    <t>siste kv</t>
  </si>
  <si>
    <t>Bak øret</t>
  </si>
  <si>
    <t>I øret</t>
  </si>
  <si>
    <t>Kanal</t>
  </si>
  <si>
    <t>av antall</t>
  </si>
  <si>
    <t>De 10 mest solgte modellene</t>
  </si>
  <si>
    <t>Total</t>
  </si>
  <si>
    <t>kr u mva</t>
  </si>
  <si>
    <t>hele året</t>
  </si>
  <si>
    <t>Av total kr</t>
  </si>
  <si>
    <t>Medus</t>
  </si>
  <si>
    <t>CIC</t>
  </si>
  <si>
    <t>prisgrense</t>
  </si>
  <si>
    <t>med 25% mva:</t>
  </si>
  <si>
    <t>Kostnad *</t>
  </si>
  <si>
    <t>med mva</t>
  </si>
  <si>
    <t>Unitron Hearing</t>
  </si>
  <si>
    <t>pris</t>
  </si>
  <si>
    <t>Takstgruppe 1</t>
  </si>
  <si>
    <t>Takstgruppe 2</t>
  </si>
  <si>
    <t>Takstgruppe 3</t>
  </si>
  <si>
    <t>Takstgruppe 4</t>
  </si>
  <si>
    <t>Takstgruppe 5</t>
  </si>
  <si>
    <t>Reparasjoner</t>
  </si>
  <si>
    <t>høreapparater</t>
  </si>
  <si>
    <t>Type/kvalitet</t>
  </si>
  <si>
    <t>Skallpropp, hard</t>
  </si>
  <si>
    <t>Skallpropp, myk</t>
  </si>
  <si>
    <t>Standard propp, hard</t>
  </si>
  <si>
    <t>Standard propp, myk</t>
  </si>
  <si>
    <t>Silhuett propp, hard</t>
  </si>
  <si>
    <t>Titanpropp</t>
  </si>
  <si>
    <t>Keramisk propp</t>
  </si>
  <si>
    <t>Forgylling</t>
  </si>
  <si>
    <t>Allergibehandling</t>
  </si>
  <si>
    <t>Farver/pynt</t>
  </si>
  <si>
    <t>Propp til tinnitusmasker</t>
  </si>
  <si>
    <t>Custom propp til RITE/RIC</t>
  </si>
  <si>
    <t>Biopor, myk</t>
  </si>
  <si>
    <t>Thermosoft, myk</t>
  </si>
  <si>
    <t>FlexVent propp</t>
  </si>
  <si>
    <t>Nanolakk</t>
  </si>
  <si>
    <t>Kanalpropp, myk</t>
  </si>
  <si>
    <t>Kanalpropp, hard</t>
  </si>
  <si>
    <t>Kostnad</t>
  </si>
  <si>
    <t>kostnad</t>
  </si>
  <si>
    <t>uten mva</t>
  </si>
  <si>
    <t>(kr)</t>
  </si>
  <si>
    <t>GN ReSound</t>
  </si>
  <si>
    <t>Totalt alle leverandører</t>
  </si>
  <si>
    <t>Pris</t>
  </si>
  <si>
    <t>kontrollsum</t>
  </si>
  <si>
    <t>Antall solgte apparater over prisgrensen</t>
  </si>
  <si>
    <t>Andel solgte apparater over prisgrensen</t>
  </si>
  <si>
    <t>Andel RITE</t>
  </si>
  <si>
    <t>Andel med tynnslange</t>
  </si>
  <si>
    <t>pris eks mva</t>
  </si>
  <si>
    <t>Slange</t>
  </si>
  <si>
    <t>RITE</t>
  </si>
  <si>
    <t>Andel der tynnslange er mulig å velge</t>
  </si>
  <si>
    <t>gjennomsnitt</t>
  </si>
  <si>
    <t>1. kv</t>
  </si>
  <si>
    <t>2. kv</t>
  </si>
  <si>
    <t>3. kv</t>
  </si>
  <si>
    <t>4. kv</t>
  </si>
  <si>
    <t>1. kv antall</t>
  </si>
  <si>
    <t>2. kv antall</t>
  </si>
  <si>
    <t>3. kv antall</t>
  </si>
  <si>
    <t>4. kv antall</t>
  </si>
  <si>
    <t>Sum antall</t>
  </si>
  <si>
    <t>Kostnad kr eks mva</t>
  </si>
  <si>
    <t xml:space="preserve">sum </t>
  </si>
  <si>
    <t>Custom propp til tynnslange</t>
  </si>
  <si>
    <t>Siemens</t>
  </si>
  <si>
    <t>Generiske propper 
("proppeanbudet")</t>
  </si>
  <si>
    <t>Post</t>
  </si>
  <si>
    <t>Zon SLA propp</t>
  </si>
  <si>
    <t>dette kv.</t>
  </si>
  <si>
    <t>underrapportert</t>
  </si>
  <si>
    <t>S-650</t>
  </si>
  <si>
    <t>Ponto</t>
  </si>
  <si>
    <t>Serie</t>
  </si>
  <si>
    <t>Antall modeller (linjer i regnearket)</t>
  </si>
  <si>
    <t>Totalt</t>
  </si>
  <si>
    <t>Produkter som ikke er på avtale</t>
  </si>
  <si>
    <t>Chili SP7</t>
  </si>
  <si>
    <t>Chili SP9</t>
  </si>
  <si>
    <t>benforankrede</t>
  </si>
  <si>
    <t>tinnitus-</t>
  </si>
  <si>
    <t>maskerere</t>
  </si>
  <si>
    <t>Antall modeller på avtale brutto</t>
  </si>
  <si>
    <t>S-5000</t>
  </si>
  <si>
    <t>X Series 110</t>
  </si>
  <si>
    <t>Phonak AG</t>
  </si>
  <si>
    <t>Widex</t>
  </si>
  <si>
    <t>Bernafon</t>
  </si>
  <si>
    <t>Oticon AS</t>
  </si>
  <si>
    <t>Oticon A/S</t>
  </si>
  <si>
    <t>Medus AS</t>
  </si>
  <si>
    <t>Starkey Norway AS</t>
  </si>
  <si>
    <t>S4-VSD-SP</t>
  </si>
  <si>
    <t>Ponto Pro</t>
  </si>
  <si>
    <t>BP110P</t>
  </si>
  <si>
    <t>Oticon Medical AB</t>
  </si>
  <si>
    <t>Cochlear</t>
  </si>
  <si>
    <t>Beltone TBR 25</t>
  </si>
  <si>
    <t>Wave 2G Mini Canal</t>
  </si>
  <si>
    <t>Wave 2G Slim</t>
  </si>
  <si>
    <t>Wave 2G X-Mini</t>
  </si>
  <si>
    <t>Wave 2G Cymba</t>
  </si>
  <si>
    <t>ITC</t>
  </si>
  <si>
    <t>Helix</t>
  </si>
  <si>
    <t>Bord</t>
  </si>
  <si>
    <t>Verso</t>
  </si>
  <si>
    <t>9</t>
  </si>
  <si>
    <t>Gr 5 utenom avtale</t>
  </si>
  <si>
    <t>S-3000</t>
  </si>
  <si>
    <t>22 MA</t>
  </si>
  <si>
    <t>slange</t>
  </si>
  <si>
    <t>Totalt, alle leverandører</t>
  </si>
  <si>
    <t>Sum produkter som ikke er på avtale</t>
  </si>
  <si>
    <t>Jump S TRT</t>
  </si>
  <si>
    <t>7mi</t>
  </si>
  <si>
    <t>Benforankret</t>
  </si>
  <si>
    <t>BAHA</t>
  </si>
  <si>
    <t>Andel med slange</t>
  </si>
  <si>
    <t>Andel uten slange/ledning (custom, BAHA,)</t>
  </si>
  <si>
    <t>Sum antall høreapparater</t>
  </si>
  <si>
    <t>hele</t>
  </si>
  <si>
    <t>året</t>
  </si>
  <si>
    <t>Sum tinnitusmaskerere</t>
  </si>
  <si>
    <t>D4-FA</t>
  </si>
  <si>
    <t>Dream</t>
  </si>
  <si>
    <t>Ponto Plus</t>
  </si>
  <si>
    <t>Sensei</t>
  </si>
  <si>
    <t>Sueno</t>
  </si>
  <si>
    <t>LiNX</t>
  </si>
  <si>
    <t>Alta2</t>
  </si>
  <si>
    <t>Alta2 Rite</t>
  </si>
  <si>
    <t>Alta2 ITE</t>
  </si>
  <si>
    <t>Sivantos</t>
  </si>
  <si>
    <t>Sivantos AS</t>
  </si>
  <si>
    <t>LS988-DW</t>
  </si>
  <si>
    <t>LS977-DW</t>
  </si>
  <si>
    <t xml:space="preserve">LS962-DRW </t>
  </si>
  <si>
    <t xml:space="preserve">LS961-DRW </t>
  </si>
  <si>
    <t>LS9 CIC MP</t>
  </si>
  <si>
    <t>Audeo V90 312T xS</t>
  </si>
  <si>
    <t>Informasjon</t>
  </si>
  <si>
    <t>Rang</t>
  </si>
  <si>
    <t>Serienavn</t>
  </si>
  <si>
    <t>Modellnavn</t>
  </si>
  <si>
    <t xml:space="preserve">Leverandørens  artikkelnr           </t>
  </si>
  <si>
    <t>Leverandørnavn</t>
  </si>
  <si>
    <t>Produsent</t>
  </si>
  <si>
    <t>Type/ form</t>
  </si>
  <si>
    <t>Lydgiver/ slangetype</t>
  </si>
  <si>
    <t>tynnslange</t>
  </si>
  <si>
    <t>slange og tynnsl.</t>
  </si>
  <si>
    <t xml:space="preserve"> </t>
  </si>
  <si>
    <t>annet</t>
  </si>
  <si>
    <t>Post 1</t>
  </si>
  <si>
    <t>Antaro</t>
  </si>
  <si>
    <t>Antaro Slim</t>
  </si>
  <si>
    <t>Hansaton</t>
  </si>
  <si>
    <t>Antaro Mini</t>
  </si>
  <si>
    <t>Antaro X-Micro</t>
  </si>
  <si>
    <t>Antaro X-Mini</t>
  </si>
  <si>
    <t>Antaro ITE</t>
  </si>
  <si>
    <t>Antaro CIC</t>
  </si>
  <si>
    <t>Juna 9</t>
  </si>
  <si>
    <t>Juna 9 CPx</t>
  </si>
  <si>
    <t>Juna 9 CP</t>
  </si>
  <si>
    <t>Juna 9 N</t>
  </si>
  <si>
    <t>Juna 9 NR</t>
  </si>
  <si>
    <t>Juna 9 PR</t>
  </si>
  <si>
    <t>Juna 9 ITCD</t>
  </si>
  <si>
    <t>Juna 9 CICx</t>
  </si>
  <si>
    <t>Juna 9 IIC</t>
  </si>
  <si>
    <t>Dream 440</t>
  </si>
  <si>
    <t>D4-9</t>
  </si>
  <si>
    <t>D4-XP</t>
  </si>
  <si>
    <t>D4-CIC</t>
  </si>
  <si>
    <t>Dream 330</t>
  </si>
  <si>
    <t>D3-9</t>
  </si>
  <si>
    <t>D3-FA</t>
  </si>
  <si>
    <t>D3-FS</t>
  </si>
  <si>
    <t>D3-PA</t>
  </si>
  <si>
    <t>D3-XP</t>
  </si>
  <si>
    <t>D3-CIC</t>
  </si>
  <si>
    <t>LS9 ITE MP W D</t>
  </si>
  <si>
    <t xml:space="preserve">LS9 IIC </t>
  </si>
  <si>
    <t>Q90 Serie 1</t>
  </si>
  <si>
    <t>Bolero Q90 SP</t>
  </si>
  <si>
    <t>050-0115-xx</t>
  </si>
  <si>
    <t>Bolero Q90 P</t>
  </si>
  <si>
    <t>050-0114-xx</t>
  </si>
  <si>
    <t>Bolero Q90 M13</t>
  </si>
  <si>
    <t>050-0116-xx</t>
  </si>
  <si>
    <t>Virto Q90 10 M</t>
  </si>
  <si>
    <t>063-0072-xx</t>
  </si>
  <si>
    <t>Virto Q90 312 M</t>
  </si>
  <si>
    <t>063-0074-xx</t>
  </si>
  <si>
    <t>Audeo Q90 312T xS</t>
  </si>
  <si>
    <t>050-0084-xx</t>
  </si>
  <si>
    <t>Naida Q90 SP</t>
  </si>
  <si>
    <t>050-0135-xx</t>
  </si>
  <si>
    <t>Naida Q90 UP</t>
  </si>
  <si>
    <t>050-0138-xx</t>
  </si>
  <si>
    <t>Inara</t>
  </si>
  <si>
    <t>Inara BTE Power</t>
  </si>
  <si>
    <t>Inara Slim</t>
  </si>
  <si>
    <t>Inara Mini</t>
  </si>
  <si>
    <t>Inara X-Micro</t>
  </si>
  <si>
    <t>Inara X-Mini</t>
  </si>
  <si>
    <t>Inara ITE</t>
  </si>
  <si>
    <t>Inara CIC</t>
  </si>
  <si>
    <t>Juna 7</t>
  </si>
  <si>
    <t>Juna 7 CP</t>
  </si>
  <si>
    <t>Juna 7 N</t>
  </si>
  <si>
    <t>Juna 7 NR</t>
  </si>
  <si>
    <t>Juna 7 PR</t>
  </si>
  <si>
    <t>Juna 7 ITEPD</t>
  </si>
  <si>
    <t>Juna 7 ITCPD</t>
  </si>
  <si>
    <t>Juna 7 ITC</t>
  </si>
  <si>
    <t>Juna 7 CICP</t>
  </si>
  <si>
    <t>Sorino</t>
  </si>
  <si>
    <t>Sorino BTE Power</t>
  </si>
  <si>
    <t>Sorino BTE Classic</t>
  </si>
  <si>
    <t>Sorino Slim</t>
  </si>
  <si>
    <t>Sorino Mini</t>
  </si>
  <si>
    <t>Sorino X-Micro</t>
  </si>
  <si>
    <t>Sorino X-Mini</t>
  </si>
  <si>
    <t>Sorino ITE</t>
  </si>
  <si>
    <t>Sorino CIC</t>
  </si>
  <si>
    <t>Q90 Serie 2</t>
  </si>
  <si>
    <t>Sky Q90 M13</t>
  </si>
  <si>
    <t>050-0165-xx</t>
  </si>
  <si>
    <t>Sky Q90 SP</t>
  </si>
  <si>
    <t>050-0168-xx</t>
  </si>
  <si>
    <t>Sky Q90 UP</t>
  </si>
  <si>
    <t>050-0178-xx</t>
  </si>
  <si>
    <t>Sky Q90 RIC xS</t>
  </si>
  <si>
    <t>050-0207-xx</t>
  </si>
  <si>
    <t>Virto Q90 312 NW</t>
  </si>
  <si>
    <t>063-0073-xx</t>
  </si>
  <si>
    <t>Pure 7bx S</t>
  </si>
  <si>
    <t>P7bx</t>
  </si>
  <si>
    <t>Carat 7bx S</t>
  </si>
  <si>
    <t>C7bx</t>
  </si>
  <si>
    <t>Motion SX 7bx</t>
  </si>
  <si>
    <t>MSX7bx</t>
  </si>
  <si>
    <t>Insio CT 7bx</t>
  </si>
  <si>
    <t>I7bx_ITC</t>
  </si>
  <si>
    <r>
      <t>LiNX</t>
    </r>
    <r>
      <rPr>
        <vertAlign val="superscript"/>
        <sz val="10"/>
        <rFont val="Arial"/>
        <family val="2"/>
      </rPr>
      <t xml:space="preserve">2 </t>
    </r>
    <r>
      <rPr>
        <sz val="10"/>
        <rFont val="MS Sans Serif"/>
        <family val="2"/>
      </rPr>
      <t>9</t>
    </r>
  </si>
  <si>
    <t>LS9 ITC MP W D</t>
  </si>
  <si>
    <r>
      <t>LiNX</t>
    </r>
    <r>
      <rPr>
        <vertAlign val="superscript"/>
        <sz val="10"/>
        <rFont val="Arial"/>
        <family val="2"/>
      </rPr>
      <t xml:space="preserve">2 </t>
    </r>
    <r>
      <rPr>
        <sz val="10"/>
        <rFont val="MS Sans Serif"/>
        <family val="2"/>
      </rPr>
      <t>7</t>
    </r>
  </si>
  <si>
    <t>LS788-DW</t>
  </si>
  <si>
    <t xml:space="preserve">LS761-DRW </t>
  </si>
  <si>
    <t>Motion M 7mi</t>
  </si>
  <si>
    <t>MM7mi</t>
  </si>
  <si>
    <t>Pure 7mi +</t>
  </si>
  <si>
    <t>P7+mi</t>
  </si>
  <si>
    <t>Motion P 7mi</t>
  </si>
  <si>
    <t>MP7mi</t>
  </si>
  <si>
    <t xml:space="preserve">Alta2 </t>
  </si>
  <si>
    <t>Alta2 BTE 100</t>
  </si>
  <si>
    <t>14618x</t>
  </si>
  <si>
    <t>Alta2 BTE 85</t>
  </si>
  <si>
    <t>1461xx</t>
  </si>
  <si>
    <t>14598x</t>
  </si>
  <si>
    <t>Alta2 miniRite</t>
  </si>
  <si>
    <t>1438xx</t>
  </si>
  <si>
    <t>Alta2 miniBTE</t>
  </si>
  <si>
    <t>1437xx</t>
  </si>
  <si>
    <t>001-501-xxx-3xx</t>
  </si>
  <si>
    <t>Alta2 CIC</t>
  </si>
  <si>
    <t>001-501-052-3xx</t>
  </si>
  <si>
    <t>Z Series i90</t>
  </si>
  <si>
    <t>Z Series i90 BTE 13</t>
  </si>
  <si>
    <t>65717-TAB</t>
  </si>
  <si>
    <t>Starkey Hearing Technologies</t>
  </si>
  <si>
    <t>Z Series i90 BTE 13 Powerplus</t>
  </si>
  <si>
    <t>64100-TAB</t>
  </si>
  <si>
    <t>Z Series i90 MicroRic 312</t>
  </si>
  <si>
    <t>65957-TAB</t>
  </si>
  <si>
    <t>Z Series i90 ITE</t>
  </si>
  <si>
    <t>CE P90</t>
  </si>
  <si>
    <t>Z Series i90 ITC</t>
  </si>
  <si>
    <t>SA CP90</t>
  </si>
  <si>
    <t>Z Series i90 CIC</t>
  </si>
  <si>
    <t>SA TP90</t>
  </si>
  <si>
    <t>Alta2 Pro</t>
  </si>
  <si>
    <t>Alta2 Pro BTE 85</t>
  </si>
  <si>
    <t>14616x</t>
  </si>
  <si>
    <t>Alta2 Pro Rite</t>
  </si>
  <si>
    <t>1459xx</t>
  </si>
  <si>
    <t>Alta2 Pro miniRite</t>
  </si>
  <si>
    <t>143xxx</t>
  </si>
  <si>
    <t>Alta2 Pro miniBTE</t>
  </si>
  <si>
    <t>Alta2 Pro ITE</t>
  </si>
  <si>
    <t>001-500-xxx-3xx</t>
  </si>
  <si>
    <t>Alta2 Pro CIC</t>
  </si>
  <si>
    <t>001-500-052-3xx</t>
  </si>
  <si>
    <t>Alta2 Pro IIC</t>
  </si>
  <si>
    <t>001-500-0xx-5xx</t>
  </si>
  <si>
    <t>Z Series i110</t>
  </si>
  <si>
    <t>Z Series i110 BTE 13 Powerplus</t>
  </si>
  <si>
    <t>64099-TAB</t>
  </si>
  <si>
    <t xml:space="preserve">slange </t>
  </si>
  <si>
    <t>Z Series i110 BTE 312 Mini</t>
  </si>
  <si>
    <t>64089-TAB</t>
  </si>
  <si>
    <t>Z Series i110 MicroRic 312</t>
  </si>
  <si>
    <t>65956-TAB</t>
  </si>
  <si>
    <t>Z Series i110 ITC</t>
  </si>
  <si>
    <t>SA CP10</t>
  </si>
  <si>
    <t>Z Series i110 CIC</t>
  </si>
  <si>
    <t>SA TP10</t>
  </si>
  <si>
    <t>Post 2</t>
  </si>
  <si>
    <t>Superpower med slange</t>
  </si>
  <si>
    <t>Inara Power</t>
  </si>
  <si>
    <t>Nitro 7mi</t>
  </si>
  <si>
    <t>N7mi_BTE</t>
  </si>
  <si>
    <t>Enzo</t>
  </si>
  <si>
    <t>EO998-DW</t>
  </si>
  <si>
    <t>Safari</t>
  </si>
  <si>
    <t>Safari 600 SP</t>
  </si>
  <si>
    <t>1047xx</t>
  </si>
  <si>
    <t>Safari 900 SP</t>
  </si>
  <si>
    <t>X Series 110 BTE 13 Powerplus</t>
  </si>
  <si>
    <t>65656-TAB</t>
  </si>
  <si>
    <t>Post 3</t>
  </si>
  <si>
    <t>Superpower med RITE</t>
  </si>
  <si>
    <t>Sorino X-Mini HP</t>
  </si>
  <si>
    <t>D4-FS HP</t>
  </si>
  <si>
    <t>1011104-HP</t>
  </si>
  <si>
    <t>Soul Business</t>
  </si>
  <si>
    <t>Soul Business  X-Mini HP</t>
  </si>
  <si>
    <t>Z Series i90 RIC 312 AP</t>
  </si>
  <si>
    <t>64095-TAB</t>
  </si>
  <si>
    <t>Z Series i110 RIC 312 AP</t>
  </si>
  <si>
    <t>64094-TAB</t>
  </si>
  <si>
    <t>Super</t>
  </si>
  <si>
    <t>1010908</t>
  </si>
  <si>
    <t>S4-VS-SP</t>
  </si>
  <si>
    <t>Post 4</t>
  </si>
  <si>
    <t>Mini</t>
  </si>
  <si>
    <t>050-0188-xx</t>
  </si>
  <si>
    <t>Audeo V90 10 xS</t>
  </si>
  <si>
    <t>050-0186-xx</t>
  </si>
  <si>
    <t>Xino i110</t>
  </si>
  <si>
    <t>Xino i110 MicroRic 312</t>
  </si>
  <si>
    <t>65817-TAB</t>
  </si>
  <si>
    <t>Audeo V90 312 xS</t>
  </si>
  <si>
    <t>050-0187-xx</t>
  </si>
  <si>
    <t xml:space="preserve">Post 5: </t>
  </si>
  <si>
    <t>M5170x</t>
  </si>
  <si>
    <t>Baha 5</t>
  </si>
  <si>
    <t>620-9520X</t>
  </si>
  <si>
    <t>130-00-2xx-00</t>
  </si>
  <si>
    <t>620-9284X</t>
  </si>
  <si>
    <t>Post 6</t>
  </si>
  <si>
    <t>Trådløs CROS</t>
  </si>
  <si>
    <t>D4-9 CROS</t>
  </si>
  <si>
    <t>1011101-Cros</t>
  </si>
  <si>
    <t>D4-CIC CROS</t>
  </si>
  <si>
    <t>1021129-Cros</t>
  </si>
  <si>
    <t>D4-FS CROS</t>
  </si>
  <si>
    <t>1011104-Cros</t>
  </si>
  <si>
    <t>D4-XP CROS</t>
  </si>
  <si>
    <t>1021122-Cros</t>
  </si>
  <si>
    <t>Phonak CROS 312</t>
  </si>
  <si>
    <t>063-0417-xx</t>
  </si>
  <si>
    <t>D4-PA CROS</t>
  </si>
  <si>
    <t>1011112-Cros</t>
  </si>
  <si>
    <t>Phonak CROS</t>
  </si>
  <si>
    <t>050-0689-xx</t>
  </si>
  <si>
    <t>Phonak CROS H2O</t>
  </si>
  <si>
    <t>050-0986-xx</t>
  </si>
  <si>
    <t>D4-FA CROS</t>
  </si>
  <si>
    <t>1011102-Cros</t>
  </si>
  <si>
    <t>Post 7</t>
  </si>
  <si>
    <t>For små barn</t>
  </si>
  <si>
    <t>Audeo V90 13 xS</t>
  </si>
  <si>
    <t>050-0189-xx</t>
  </si>
  <si>
    <t>Sensei BTE 75</t>
  </si>
  <si>
    <t>13119x/13120x</t>
  </si>
  <si>
    <t xml:space="preserve">Sensei </t>
  </si>
  <si>
    <t>Sensei BTE 90</t>
  </si>
  <si>
    <t>13121x/13122x</t>
  </si>
  <si>
    <t>Alta2 Pro designRite</t>
  </si>
  <si>
    <t>14626x/14627x/15124x/15125x</t>
  </si>
  <si>
    <t>Sensei RITE</t>
  </si>
  <si>
    <t>13120x/13121x</t>
  </si>
  <si>
    <t>Sensei Pro</t>
  </si>
  <si>
    <t>Sensei Pro BTE 75</t>
  </si>
  <si>
    <t>Sensei Pro BTE 90</t>
  </si>
  <si>
    <t>Sensei Pro RITE</t>
  </si>
  <si>
    <t>UP Smart</t>
  </si>
  <si>
    <t>UPS998</t>
  </si>
  <si>
    <t>UPS988</t>
  </si>
  <si>
    <t>UPS977</t>
  </si>
  <si>
    <t>BB440</t>
  </si>
  <si>
    <t>1010701</t>
  </si>
  <si>
    <t>Post 8</t>
  </si>
  <si>
    <t>Høreapparat med tinnitusmaskerer</t>
  </si>
  <si>
    <t>LiNX2</t>
  </si>
  <si>
    <t>LS9 ITE MP WL D</t>
  </si>
  <si>
    <t>LS7 ITE MP WL D</t>
  </si>
  <si>
    <t>Carat 7bx s</t>
  </si>
  <si>
    <t>D3-9 T</t>
  </si>
  <si>
    <t>1011131-T</t>
  </si>
  <si>
    <t>LNT988</t>
  </si>
  <si>
    <t>D3-FA T</t>
  </si>
  <si>
    <t>1011132-T</t>
  </si>
  <si>
    <t>LNT977</t>
  </si>
  <si>
    <t>LNT788</t>
  </si>
  <si>
    <t>LNT777</t>
  </si>
  <si>
    <t>Nera2 Pro Ti</t>
  </si>
  <si>
    <t>1011101-T</t>
  </si>
  <si>
    <t>D3-CIC T</t>
  </si>
  <si>
    <t>1021139-T</t>
  </si>
  <si>
    <t>D3-XP T</t>
  </si>
  <si>
    <t>1021132-T</t>
  </si>
  <si>
    <t>Alta2 Pro Ti</t>
  </si>
  <si>
    <t>Alta2 Pro Ti BTE 85</t>
  </si>
  <si>
    <t>14635x/14636x</t>
  </si>
  <si>
    <t>Ace 5bx s</t>
  </si>
  <si>
    <t>A5bx</t>
  </si>
  <si>
    <t>LS961-DRW MP</t>
  </si>
  <si>
    <t>LS962-DRW MP</t>
  </si>
  <si>
    <t>Nera2 Pro Ti RITE</t>
  </si>
  <si>
    <t>15009x</t>
  </si>
  <si>
    <t>D3-FS T</t>
  </si>
  <si>
    <t>1011134-T</t>
  </si>
  <si>
    <t>Nera2 Pro Ti miniRite</t>
  </si>
  <si>
    <t>15008x/150092</t>
  </si>
  <si>
    <t>LNT961</t>
  </si>
  <si>
    <t>LS762-DRW MP</t>
  </si>
  <si>
    <t>D3-PA T</t>
  </si>
  <si>
    <t>1011133-T</t>
  </si>
  <si>
    <t>Alta2 Pro Ti miniRite</t>
  </si>
  <si>
    <t>14633x/14634x</t>
  </si>
  <si>
    <t>LNT761</t>
  </si>
  <si>
    <t>Ace 7bx s</t>
  </si>
  <si>
    <t>A7bx</t>
  </si>
  <si>
    <t>LS9 ITC MP WL D</t>
  </si>
  <si>
    <t>D4-FS T</t>
  </si>
  <si>
    <t>1011104-T</t>
  </si>
  <si>
    <t>LS7 ITC MP WL D</t>
  </si>
  <si>
    <t>Soul Business 3G Slim</t>
  </si>
  <si>
    <t>VOT977</t>
  </si>
  <si>
    <t>D4-PA T</t>
  </si>
  <si>
    <t>1011112-T</t>
  </si>
  <si>
    <t>VOT988</t>
  </si>
  <si>
    <t>VOT962</t>
  </si>
  <si>
    <t>VOT967</t>
  </si>
  <si>
    <t>BST-100</t>
  </si>
  <si>
    <t>Sound+Sleep</t>
  </si>
  <si>
    <t>Pris 4.kv</t>
  </si>
  <si>
    <t>Kostnad 4.kvartal *</t>
  </si>
  <si>
    <t>av total</t>
  </si>
  <si>
    <t>av kostnad</t>
  </si>
  <si>
    <t>Andel</t>
  </si>
  <si>
    <t>Proprietære propper
(høreapparatanbudet)</t>
  </si>
  <si>
    <t>Hodebåret tinnitusmaskerer</t>
  </si>
  <si>
    <t>Bordmodell tinnitusmaskerer</t>
  </si>
  <si>
    <t>Pris 1.kv</t>
  </si>
  <si>
    <t>Pris 2.kv</t>
  </si>
  <si>
    <t>Pris 3.kv</t>
  </si>
  <si>
    <t>Sum
antall</t>
  </si>
  <si>
    <t>4. kvartal
antall</t>
  </si>
  <si>
    <t>1. kvartal
antall</t>
  </si>
  <si>
    <t>3. kvartal
antall</t>
  </si>
  <si>
    <t>2. kvartal
antall</t>
  </si>
  <si>
    <t>Kostnad 1.kvartal *</t>
  </si>
  <si>
    <t>Kostnad 2.kvartal *</t>
  </si>
  <si>
    <t>Kostnad 3.kvartal *</t>
  </si>
  <si>
    <t>Leverandør</t>
  </si>
  <si>
    <t>Hele året</t>
  </si>
  <si>
    <t>Siste kv</t>
  </si>
  <si>
    <t>Antall</t>
  </si>
  <si>
    <t>Acriva 9 NR</t>
  </si>
  <si>
    <t>Andel utefor avtale</t>
  </si>
  <si>
    <t>LX800-M</t>
  </si>
  <si>
    <t>VO777-DW</t>
  </si>
  <si>
    <t>VO977-DW</t>
  </si>
  <si>
    <t>VO967-DW</t>
  </si>
  <si>
    <t>VO962-DRW</t>
  </si>
  <si>
    <t>VO988-DW</t>
  </si>
  <si>
    <t>VO930-D</t>
  </si>
  <si>
    <t>VO910</t>
  </si>
  <si>
    <t>Motion 7mi SX</t>
  </si>
  <si>
    <t>Insio 7mi ITC</t>
  </si>
  <si>
    <t>x</t>
  </si>
  <si>
    <t>Insio 7mi CIC</t>
  </si>
  <si>
    <t>Ace 7mi (M)</t>
  </si>
  <si>
    <t>Motion 701 ITC</t>
  </si>
  <si>
    <t>Pure 701 (S)</t>
  </si>
  <si>
    <t>Pure Carat 701</t>
  </si>
  <si>
    <t>Alta Pro BTE/P</t>
  </si>
  <si>
    <t>Alta Pro BTE</t>
  </si>
  <si>
    <t>Alta Pro miniRite</t>
  </si>
  <si>
    <t>Alta Pro ITE</t>
  </si>
  <si>
    <t>Alta Pro CIC</t>
  </si>
  <si>
    <t>Nera2 Pro miniRite</t>
  </si>
  <si>
    <t>Nera2 Pro DesignRite</t>
  </si>
  <si>
    <t>Alta BTE/Power</t>
  </si>
  <si>
    <t xml:space="preserve">Alta BTE </t>
  </si>
  <si>
    <t>Alta Rite</t>
  </si>
  <si>
    <t>Alta ITE</t>
  </si>
  <si>
    <t xml:space="preserve">Alta CIC </t>
  </si>
  <si>
    <t>Sum kostnad*</t>
  </si>
  <si>
    <t>Rite</t>
  </si>
  <si>
    <t>Veneto BTE x-mini</t>
  </si>
  <si>
    <t>Veneto BTE Slim</t>
  </si>
  <si>
    <t>D4-FA P</t>
  </si>
  <si>
    <t>U4-PA</t>
  </si>
  <si>
    <t>U4-FS</t>
  </si>
  <si>
    <t>U4-CIC T</t>
  </si>
  <si>
    <t>U4-XP T</t>
  </si>
  <si>
    <t>U4-FA T</t>
  </si>
  <si>
    <t>Ny 1.1.16</t>
  </si>
  <si>
    <t xml:space="preserve">3 Series i110 RIC 312 AP </t>
  </si>
  <si>
    <t>3 Series i110 ITC</t>
  </si>
  <si>
    <t>3 Series i110 CIC</t>
  </si>
  <si>
    <t>Bolero V90 SP</t>
  </si>
  <si>
    <t>050-0296-xx</t>
  </si>
  <si>
    <t>AMBRA microP Beige</t>
  </si>
  <si>
    <t>050-0906-xx</t>
  </si>
  <si>
    <t>AMBRA Petite Beach Beige</t>
  </si>
  <si>
    <t>050-0514-xx</t>
  </si>
  <si>
    <t>Virto Q 70 10</t>
  </si>
  <si>
    <t>063-0078-xx</t>
  </si>
  <si>
    <t>Utgått 1.1.16</t>
  </si>
  <si>
    <t>Phonak CROS II 312 Custom</t>
  </si>
  <si>
    <t>063-0098-xx</t>
  </si>
  <si>
    <t>Virto V90 312 M</t>
  </si>
  <si>
    <t>050-9021-xx</t>
  </si>
  <si>
    <t xml:space="preserve">Phonak CROS II-312 </t>
  </si>
  <si>
    <t>050-0228-xx</t>
  </si>
  <si>
    <t>Bolero V90 M</t>
  </si>
  <si>
    <t>050-0284-xx</t>
  </si>
  <si>
    <t>Phonak CROS II-13</t>
  </si>
  <si>
    <t>050-0229-xx</t>
  </si>
  <si>
    <t>Bolero V90 P</t>
  </si>
  <si>
    <t>050-0292-xx</t>
  </si>
  <si>
    <t>Ikke avtale</t>
  </si>
  <si>
    <t>Totalt Ikke avtale</t>
  </si>
  <si>
    <t>Totalt 8</t>
  </si>
  <si>
    <t>Totalt 7</t>
  </si>
  <si>
    <t>Totalt 6</t>
  </si>
  <si>
    <t>Totalt 5</t>
  </si>
  <si>
    <t>Totalt 4</t>
  </si>
  <si>
    <t>Totalt 3</t>
  </si>
  <si>
    <t>Totalt 2</t>
  </si>
  <si>
    <t>Totalt 1</t>
  </si>
  <si>
    <t>Totalsum</t>
  </si>
  <si>
    <t>Andel av</t>
  </si>
  <si>
    <t>Produkter som ikke er på avtale dette kvartalet</t>
  </si>
  <si>
    <t xml:space="preserve">Juna 9 </t>
  </si>
  <si>
    <t>Juna 9 P BTE</t>
  </si>
  <si>
    <t>Supremia 7</t>
  </si>
  <si>
    <t>Alta2 Pro BTE 13 105</t>
  </si>
  <si>
    <t>137831/1532xx</t>
  </si>
  <si>
    <t xml:space="preserve">Dynamo </t>
  </si>
  <si>
    <t>Dynamo SP6</t>
  </si>
  <si>
    <t>15743x</t>
  </si>
  <si>
    <t>Dynamo SP8</t>
  </si>
  <si>
    <t>1574xx</t>
  </si>
  <si>
    <t>Dynamo SP10</t>
  </si>
  <si>
    <t>140939/1574xx</t>
  </si>
  <si>
    <t>Sensei SP</t>
  </si>
  <si>
    <t>1574xx/15750x/1577xx/1614xx</t>
  </si>
  <si>
    <t>Sensei Pro SP</t>
  </si>
  <si>
    <t>140938/1574xx/1577xx1614xx</t>
  </si>
  <si>
    <t>Enzo2</t>
  </si>
  <si>
    <t>EN998-DW</t>
  </si>
  <si>
    <t>Ny 1.3.16</t>
  </si>
  <si>
    <t>Utgått 1.3.16</t>
  </si>
  <si>
    <t>EN988-DW</t>
  </si>
  <si>
    <t>Muse i2400</t>
  </si>
  <si>
    <t>Muse i2400 MicroRic 312t</t>
  </si>
  <si>
    <t>64169-TAB</t>
  </si>
  <si>
    <t>Ny 1.4.16</t>
  </si>
  <si>
    <t xml:space="preserve">Muse i2400 Mini BTE 312 </t>
  </si>
  <si>
    <t>64174-TAB</t>
  </si>
  <si>
    <t>Halo2 i2400</t>
  </si>
  <si>
    <t>Halo2 i2400 RIC 13</t>
  </si>
  <si>
    <t xml:space="preserve">64118-TAB </t>
  </si>
  <si>
    <t>Utgått 15.04.16</t>
  </si>
  <si>
    <t>Pure 7px S</t>
  </si>
  <si>
    <t>P7px</t>
  </si>
  <si>
    <t>Motion SX 7px</t>
  </si>
  <si>
    <t>MSX7px</t>
  </si>
  <si>
    <t>Ace 7px S</t>
  </si>
  <si>
    <t>A7px</t>
  </si>
  <si>
    <t>Sonova Norway AS</t>
  </si>
  <si>
    <t>V90 Serie 2</t>
  </si>
  <si>
    <t>Sky V90 M</t>
  </si>
  <si>
    <t>050-0329-xx</t>
  </si>
  <si>
    <t>Sky V90 SP</t>
  </si>
  <si>
    <t>050-0337-xx</t>
  </si>
  <si>
    <t>Sky V90 UP</t>
  </si>
  <si>
    <t>050-0341-xx</t>
  </si>
  <si>
    <t>Sky V90 RIC xS</t>
  </si>
  <si>
    <t>050-0345-xx</t>
  </si>
  <si>
    <t>Virto V90 13 SP</t>
  </si>
  <si>
    <t>063-0141-xx</t>
  </si>
  <si>
    <t>Naida V90 RIC xS</t>
  </si>
  <si>
    <t>050-0268-xx</t>
  </si>
  <si>
    <t>Sky V90 P</t>
  </si>
  <si>
    <t>050-0333-xx</t>
  </si>
  <si>
    <t>Utgått 1.5.16</t>
  </si>
  <si>
    <t>Ny 1.5.16</t>
  </si>
  <si>
    <t>Naida V90 UP</t>
  </si>
  <si>
    <t>050-0249-xx</t>
  </si>
  <si>
    <t>Naida V90 SP</t>
  </si>
  <si>
    <t>050-0245-xx</t>
  </si>
  <si>
    <t>Baha 5 Power</t>
  </si>
  <si>
    <t>620-9547X</t>
  </si>
  <si>
    <t>Utgått 1.6.16</t>
  </si>
  <si>
    <t>Ny 1.6.16</t>
  </si>
  <si>
    <t>Beat 3</t>
  </si>
  <si>
    <t>Beat 3 675 UP</t>
  </si>
  <si>
    <t>SoundHD 3</t>
  </si>
  <si>
    <t>SoundHD 3 13</t>
  </si>
  <si>
    <t>Ny 1.6.15</t>
  </si>
  <si>
    <t>SoundHD 3 S312</t>
  </si>
  <si>
    <t>Sound 5</t>
  </si>
  <si>
    <t>Sound 5 312</t>
  </si>
  <si>
    <t>Sound 3</t>
  </si>
  <si>
    <t>Sound 3 312</t>
  </si>
  <si>
    <t>Sound  3</t>
  </si>
  <si>
    <t>Sound  3 312</t>
  </si>
  <si>
    <t>Jam HD 3</t>
  </si>
  <si>
    <t>Jam HD 3 312 Dir W</t>
  </si>
  <si>
    <t>Jam HD 7</t>
  </si>
  <si>
    <t>Jam HD 7 S312M</t>
  </si>
  <si>
    <t>Sound HD 7</t>
  </si>
  <si>
    <t>Sound HD 7 S312</t>
  </si>
  <si>
    <t>Jam HD 7 312 Dir W</t>
  </si>
  <si>
    <t>11130</t>
  </si>
  <si>
    <t>JamHD 3 S312M</t>
  </si>
  <si>
    <t>Sonova</t>
  </si>
  <si>
    <t>Antall apparater over prisgrensen</t>
  </si>
  <si>
    <t>U4-FM T</t>
  </si>
  <si>
    <t>Insio CIC 5 px</t>
  </si>
  <si>
    <t>I5px_CIC</t>
  </si>
  <si>
    <t>Ny 15.7.16</t>
  </si>
  <si>
    <t>Insio CT 5px</t>
  </si>
  <si>
    <t>I5px_ITC</t>
  </si>
  <si>
    <t>Insio CIC 7px</t>
  </si>
  <si>
    <t>I7px_CIC</t>
  </si>
  <si>
    <t>Insio CT 7px</t>
  </si>
  <si>
    <t>I7px_ITC</t>
  </si>
  <si>
    <t>Utgått 1.9.16</t>
  </si>
  <si>
    <t>V90 Serie 1</t>
  </si>
  <si>
    <t>Virto V90 10 NW O</t>
  </si>
  <si>
    <t>063-0137-01</t>
  </si>
  <si>
    <t>063-0140-01</t>
  </si>
  <si>
    <t>Ny 1.9.16</t>
  </si>
  <si>
    <t>Audeo B90 10 xS</t>
  </si>
  <si>
    <t>050-0349-xx</t>
  </si>
  <si>
    <t>Audeo B90 312T xS</t>
  </si>
  <si>
    <t>050-0357-xx</t>
  </si>
  <si>
    <t>Audeo B90 312 xS</t>
  </si>
  <si>
    <t>050-0353-xx</t>
  </si>
  <si>
    <t>Audeo B90 13 xS</t>
  </si>
  <si>
    <t>050-0361-xx</t>
  </si>
  <si>
    <t>Audeo B90 R xS</t>
  </si>
  <si>
    <t>050-0237-xx</t>
  </si>
  <si>
    <t>Høreapparater fakturert NAV totalt, alle leverandører</t>
  </si>
  <si>
    <r>
      <t>LiNX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9-2</t>
    </r>
  </si>
  <si>
    <t>LS967-DW</t>
  </si>
  <si>
    <t>Ny 1.10.16</t>
  </si>
  <si>
    <t>Utgår 1.11.16</t>
  </si>
  <si>
    <t>Ny 1.11.16</t>
  </si>
  <si>
    <t>Virto V90 10 M</t>
  </si>
  <si>
    <t>063-0139-01</t>
  </si>
  <si>
    <t>Utgått 1.11.16</t>
  </si>
  <si>
    <t>Pure 5px S</t>
  </si>
  <si>
    <t>P5px</t>
  </si>
  <si>
    <t>Motion P 5px</t>
  </si>
  <si>
    <t>MP5px</t>
  </si>
  <si>
    <t>Motion SX 5px</t>
  </si>
  <si>
    <t>MSX5px</t>
  </si>
  <si>
    <t>Signia / Siemens</t>
  </si>
  <si>
    <t>Cellion 7px S</t>
  </si>
  <si>
    <t>CEL7px</t>
  </si>
  <si>
    <t>Motion P 7px</t>
  </si>
  <si>
    <t>MP7px</t>
  </si>
  <si>
    <t>Utgått 1.12.16</t>
  </si>
  <si>
    <t>Unique 440</t>
  </si>
  <si>
    <t>U4-FP</t>
  </si>
  <si>
    <t>U4-FA</t>
  </si>
  <si>
    <t>U4-XP</t>
  </si>
  <si>
    <t>U4-CIC</t>
  </si>
  <si>
    <t>1.
kvartal</t>
  </si>
  <si>
    <t>2. kvartal</t>
  </si>
  <si>
    <t>4. kvartal</t>
  </si>
  <si>
    <t>3. kvartal</t>
  </si>
  <si>
    <t>Høreapparatavtalene</t>
  </si>
  <si>
    <t>Nytt custom skall til i-øret = takstgruppe 2</t>
  </si>
  <si>
    <t>Andel apparater over prisgrensen</t>
  </si>
  <si>
    <t>underrapportert?</t>
  </si>
  <si>
    <t>Muse i2000</t>
  </si>
  <si>
    <t>Muse i2000 ITC</t>
  </si>
  <si>
    <t xml:space="preserve">SA CK9I                </t>
  </si>
  <si>
    <t>Muse i2000 CIC</t>
  </si>
  <si>
    <t xml:space="preserve">SA TK9I                </t>
  </si>
  <si>
    <t>Utgår 01.01.2017</t>
  </si>
  <si>
    <t>Beyond</t>
  </si>
  <si>
    <t>B4-F2S</t>
  </si>
  <si>
    <t>Ny 10.01.2017</t>
  </si>
  <si>
    <t>Ponto 3</t>
  </si>
  <si>
    <t>M5262x</t>
  </si>
  <si>
    <t>Ny 1.3.17</t>
  </si>
  <si>
    <t>Utgår 1.3.17</t>
  </si>
  <si>
    <t>Ponto 3 SuperPower</t>
  </si>
  <si>
    <t>M5264x/M5265x</t>
  </si>
  <si>
    <t>Ponto 3 Power</t>
  </si>
  <si>
    <t>M5263x</t>
  </si>
  <si>
    <t>Carat 7px s</t>
  </si>
  <si>
    <t>C7px</t>
  </si>
  <si>
    <t>Ny 15.02.17</t>
  </si>
  <si>
    <t>Utgår 15.02.17</t>
  </si>
  <si>
    <t>Silk CIC 7 px</t>
  </si>
  <si>
    <t>SI7px_CIC</t>
  </si>
  <si>
    <t>Utgått 20.02.17</t>
  </si>
  <si>
    <t>Gewa/Cantec</t>
  </si>
  <si>
    <t>Bolero B90 SP</t>
  </si>
  <si>
    <t>Utgått 15.02.17</t>
  </si>
  <si>
    <t>kr uten mva</t>
  </si>
  <si>
    <t>Cantec</t>
  </si>
  <si>
    <t>1. kvartal</t>
  </si>
  <si>
    <t>Cantec AS</t>
  </si>
  <si>
    <t>7px</t>
  </si>
  <si>
    <t>SP7px_BTE</t>
  </si>
  <si>
    <t>Siemens/Signia</t>
  </si>
  <si>
    <t>Motion 7px SP</t>
  </si>
  <si>
    <t>Utgått 01.04.17</t>
  </si>
  <si>
    <t>Ny 01.04.17</t>
  </si>
  <si>
    <t>050-0373-xx</t>
  </si>
  <si>
    <t>Ny 1.1.16. Utgått 1.4.17</t>
  </si>
  <si>
    <t>Ny 1.4.17</t>
  </si>
  <si>
    <t>Phonak CROS B-312 Bolero B90 M</t>
  </si>
  <si>
    <t xml:space="preserve">Phonak CROS B-312 </t>
  </si>
  <si>
    <t>050-0274-xx</t>
  </si>
  <si>
    <t>Bolero B90 M</t>
  </si>
  <si>
    <t>050-0365-xx</t>
  </si>
  <si>
    <t>Utgått 1.5.17</t>
  </si>
  <si>
    <t>Ny 1.5.17</t>
  </si>
  <si>
    <t>LiNX 3D-2</t>
  </si>
  <si>
    <t>LT977-DW</t>
  </si>
  <si>
    <t>LT962-DRW</t>
  </si>
  <si>
    <t xml:space="preserve">LT9 ITE-DW </t>
  </si>
  <si>
    <t>19994X00</t>
  </si>
  <si>
    <t>LT9 IIC LP</t>
  </si>
  <si>
    <t>19252X0X</t>
  </si>
  <si>
    <t xml:space="preserve">LiNX 3D </t>
  </si>
  <si>
    <t>LT988-DW</t>
  </si>
  <si>
    <t>LT961-DRW</t>
  </si>
  <si>
    <t xml:space="preserve">LT9 ITC-DW </t>
  </si>
  <si>
    <t>199XXX00</t>
  </si>
  <si>
    <t>LT9 CIC</t>
  </si>
  <si>
    <t>1925XX00</t>
  </si>
  <si>
    <t>LiNX 3D</t>
  </si>
  <si>
    <t>LT967-DW</t>
  </si>
  <si>
    <t>Pure 13 BT 7px S</t>
  </si>
  <si>
    <t>P13BT7px</t>
  </si>
  <si>
    <t>Siemens Høreapparater AS</t>
  </si>
  <si>
    <t>Utgått 2.5.17</t>
  </si>
  <si>
    <t>64257-TAB</t>
  </si>
  <si>
    <t>Ny 02.05.2017</t>
  </si>
  <si>
    <t>Halo 2 i2400</t>
  </si>
  <si>
    <t>RIC 312</t>
  </si>
  <si>
    <t>64252-TAB</t>
  </si>
  <si>
    <t>Bolero B90 P</t>
  </si>
  <si>
    <t>050-0369-xx</t>
  </si>
  <si>
    <t>Widex/Medisan</t>
  </si>
  <si>
    <t>Muse i2400 BTE13</t>
  </si>
  <si>
    <t>Widex Norge AS</t>
  </si>
  <si>
    <t>Cochlear Norway AS</t>
  </si>
  <si>
    <t>fjernkontroller</t>
  </si>
  <si>
    <t>streamere og streamerutstyr</t>
  </si>
  <si>
    <t>receivere</t>
  </si>
  <si>
    <t>Tilbehør</t>
  </si>
  <si>
    <t>verdi</t>
  </si>
  <si>
    <t>Cantec (Gewa)</t>
  </si>
  <si>
    <t>Omfatter også utstyr til CI levert til hjelpemiddelsentralene.</t>
  </si>
  <si>
    <t>Opn 2</t>
  </si>
  <si>
    <t>17400x/17401x</t>
  </si>
  <si>
    <t>Utgått 1.7.17</t>
  </si>
  <si>
    <t xml:space="preserve">Opn 1 </t>
  </si>
  <si>
    <t>153673/171139/17114x</t>
  </si>
  <si>
    <t>Opn 2 miniRITE-T</t>
  </si>
  <si>
    <t>17655x/17657x</t>
  </si>
  <si>
    <t>170339/17034x</t>
  </si>
  <si>
    <t>Opn 1</t>
  </si>
  <si>
    <t>Opn 1 miniRITE-T</t>
  </si>
  <si>
    <t>166745/171158/176529/17653x</t>
  </si>
  <si>
    <t>Opn 1 miniRITE</t>
  </si>
  <si>
    <t>144287/1638xx</t>
  </si>
  <si>
    <t>Opn 2 BTE13 PP</t>
  </si>
  <si>
    <t>Opn 2 miniRITE</t>
  </si>
  <si>
    <t>Opn 1 BTE13 PP</t>
  </si>
  <si>
    <t>GN Hearing Norway AS</t>
  </si>
  <si>
    <t>Zerena 9</t>
  </si>
  <si>
    <t>Zerena 9 MNR T</t>
  </si>
  <si>
    <t>Ny 10.08.17</t>
  </si>
  <si>
    <t>Utgått 01.10.17. Ny 1.9.16</t>
  </si>
  <si>
    <t>Bolero B90 PR</t>
  </si>
  <si>
    <t>Utgått 1.11.17</t>
  </si>
  <si>
    <t>Ny 1.6.16. Utgått 1.11.17</t>
  </si>
  <si>
    <t>HD 7</t>
  </si>
  <si>
    <t>beat 7-675 UP</t>
  </si>
  <si>
    <t>beat 7-13 SP</t>
  </si>
  <si>
    <t>Sound HD 9 13</t>
  </si>
  <si>
    <t>HD 9</t>
  </si>
  <si>
    <t>Sound HD 9 S312</t>
  </si>
  <si>
    <t>Jam HD 9 S312M</t>
  </si>
  <si>
    <t>Jam HD 9 312 Dir W</t>
  </si>
  <si>
    <t>Audeo B90 Direct xS</t>
  </si>
  <si>
    <t>Utgått 10.11.17</t>
  </si>
  <si>
    <t>Ny 10.11.17</t>
  </si>
  <si>
    <t>Enzo 3D</t>
  </si>
  <si>
    <t>ET998-DW</t>
  </si>
  <si>
    <t>ET988-DWH</t>
  </si>
  <si>
    <t>Pure 13 5Nx S</t>
  </si>
  <si>
    <t>Pure 312 5Nx S</t>
  </si>
  <si>
    <t>Motion 13 5Nx</t>
  </si>
  <si>
    <t>Pure 13 7Nx S</t>
  </si>
  <si>
    <t>Pure 312 7Nx S</t>
  </si>
  <si>
    <t>Motion 13 7Nx</t>
  </si>
  <si>
    <t>Carat 5px HP</t>
  </si>
  <si>
    <t>C5px</t>
  </si>
  <si>
    <t>Carat 7px HP</t>
  </si>
  <si>
    <t>Ny 01.11.17</t>
  </si>
  <si>
    <t>Ny 01.01.17</t>
  </si>
  <si>
    <t>Ny 01.07.16</t>
  </si>
  <si>
    <t>Ny 02.05.17</t>
  </si>
  <si>
    <t>Ny 01.10.17</t>
  </si>
  <si>
    <t>GN Hearing Norway</t>
  </si>
  <si>
    <t>Cochlear Norway</t>
  </si>
  <si>
    <t>1. kvartal
verdi</t>
  </si>
  <si>
    <t>2. kvartal
verdi</t>
  </si>
  <si>
    <t>3. kvartal
verdi</t>
  </si>
  <si>
    <t>4. kvartal
verdi</t>
  </si>
  <si>
    <t>Hele året
verdi</t>
  </si>
  <si>
    <t>kostnad kr eks mva</t>
  </si>
  <si>
    <t>Sum alle reparasjoner</t>
  </si>
  <si>
    <t>Prisgrense tinnitusmaskerer</t>
  </si>
  <si>
    <t>Det er trolig levert betydelig flere enn de som er fakturert.</t>
  </si>
  <si>
    <t>&lt;-- k13</t>
  </si>
  <si>
    <t>LT961-DRWZ</t>
  </si>
  <si>
    <t>Ny 15.01.18</t>
  </si>
  <si>
    <t>Halo iQ i2400</t>
  </si>
  <si>
    <t>64446-TAB</t>
  </si>
  <si>
    <t>Ny 15.02.18</t>
  </si>
  <si>
    <t>Ut 15.02.18</t>
  </si>
  <si>
    <t>Muse iQ i2400</t>
  </si>
  <si>
    <t>64317-TAB</t>
  </si>
  <si>
    <t>Ny 15.02.2018</t>
  </si>
  <si>
    <t>Muse iQ i2000</t>
  </si>
  <si>
    <t>64231-TAB</t>
  </si>
  <si>
    <t>64241-TAB</t>
  </si>
  <si>
    <t>64221-TAB</t>
  </si>
  <si>
    <t>CE  N9I</t>
  </si>
  <si>
    <t>SA CN9I</t>
  </si>
  <si>
    <t>SA TN9I</t>
  </si>
  <si>
    <t>Utgått 15.02.2018</t>
  </si>
  <si>
    <t>Muse iQ i2000 BTE 13</t>
  </si>
  <si>
    <t>Muse iQ i2000 BTE 312</t>
  </si>
  <si>
    <t>Muse iQ i2000 mRIC 312t</t>
  </si>
  <si>
    <t>Muse iQ i2000 ITE</t>
  </si>
  <si>
    <t>Muse iQ i2000 ITC</t>
  </si>
  <si>
    <t>Muse iQ i2000 CIC</t>
  </si>
  <si>
    <t>Muse iQ i2400 RIC 312t</t>
  </si>
  <si>
    <t>Muse i2400 RIC 312t</t>
  </si>
  <si>
    <t>Halo 2 i2400 RIC 312</t>
  </si>
  <si>
    <t>64403-TAB</t>
  </si>
  <si>
    <t>Halo iQ i2400 RIC 13</t>
  </si>
  <si>
    <t>64240-TAB</t>
  </si>
  <si>
    <t>Muse iQ i2400 BTE 312</t>
  </si>
  <si>
    <t>Muse iQ i2400 BTE 13</t>
  </si>
  <si>
    <t>64220-TAB</t>
  </si>
  <si>
    <t>Muse iQ i2400 mRIC 312t</t>
  </si>
  <si>
    <t>Ørepropper levert til NAV i 2018</t>
  </si>
  <si>
    <t>GN Hearing</t>
  </si>
  <si>
    <t>Utgått 01.06.2018</t>
  </si>
  <si>
    <t>Ny 01.06.2018</t>
  </si>
  <si>
    <t>Evoke</t>
  </si>
  <si>
    <t>E4-FP</t>
  </si>
  <si>
    <t>E4-FA</t>
  </si>
  <si>
    <t>E4-F2</t>
  </si>
  <si>
    <t>E4-PA</t>
  </si>
  <si>
    <t>Utgått 01.11.2017</t>
  </si>
  <si>
    <t>SHD 9-S13 Stream</t>
  </si>
  <si>
    <t>Ny 15.05.2018</t>
  </si>
  <si>
    <t>Ny 1.1.16. Utgått 01.06.18</t>
  </si>
  <si>
    <t>Ny 01.06.18</t>
  </si>
  <si>
    <t>Utgått 01.06.18</t>
  </si>
  <si>
    <t>E4-FS</t>
  </si>
  <si>
    <t>E4-FM</t>
  </si>
  <si>
    <t>Zerena 9 MNR</t>
  </si>
  <si>
    <t>Utgått 01.05.18</t>
  </si>
  <si>
    <t>Ny 01.05.18</t>
  </si>
  <si>
    <t>Muse iQ i2400 RIC R</t>
  </si>
  <si>
    <t>Ny 10.11.17. Utgått 16.4.18</t>
  </si>
  <si>
    <t>Ny 16.04.18</t>
  </si>
  <si>
    <t>Pure Charge&amp;Go 5Nx</t>
  </si>
  <si>
    <t>Ny 10.11.17. Utgått 16.04.18</t>
  </si>
  <si>
    <t>Pure Charge&amp;Go 7Nx</t>
  </si>
  <si>
    <t>Motion 13P 7Nx</t>
  </si>
  <si>
    <t>Pure 10 5Nx S</t>
  </si>
  <si>
    <t>Utgått 16.04.18</t>
  </si>
  <si>
    <t>Ny 15.04.16. Utgått 16.04.18</t>
  </si>
  <si>
    <t>Pure 10 7Nx S</t>
  </si>
  <si>
    <t>Ny 01.04.18</t>
  </si>
  <si>
    <t>Ny 02.05.17. Utgått 01.04.18</t>
  </si>
  <si>
    <t>Utgått 01.04.18</t>
  </si>
  <si>
    <t>Naida B90 UP</t>
  </si>
  <si>
    <t>Sky B90 P</t>
  </si>
  <si>
    <t>Ny 1.5.16. Utgått 01.04.18</t>
  </si>
  <si>
    <t>B90 Serie 2</t>
  </si>
  <si>
    <t>Ny 1.1.16. Utgått 15.01.18</t>
  </si>
  <si>
    <t>Sky B90 M</t>
  </si>
  <si>
    <t>Sky B90 SP</t>
  </si>
  <si>
    <t>Sky B90 UP</t>
  </si>
  <si>
    <t>Sky B90 RIC xS</t>
  </si>
  <si>
    <t>Virto B90 13 SP</t>
  </si>
  <si>
    <t>Virto B90 312 M</t>
  </si>
  <si>
    <t>Naida B90 R RIC xS</t>
  </si>
  <si>
    <t>Sky B90 P R</t>
  </si>
  <si>
    <t>Naida B90 SP</t>
  </si>
  <si>
    <t xml:space="preserve">Phonak CROS B-312 Custom Virto B90 312 M </t>
  </si>
  <si>
    <t>Phonak CROS B-312 Custom</t>
  </si>
  <si>
    <t>Phonak CROS B-13 Bolero B90 P</t>
  </si>
  <si>
    <t>Phonak CROS B-13</t>
  </si>
  <si>
    <t>Utgått 15.02.18</t>
  </si>
  <si>
    <t>Unique</t>
  </si>
  <si>
    <t>Muse iQ</t>
  </si>
  <si>
    <t>IIC Soundlens</t>
  </si>
  <si>
    <t>E4-XP</t>
  </si>
  <si>
    <t>E4-CIC</t>
  </si>
  <si>
    <t>Ny 15.08.2018</t>
  </si>
  <si>
    <t>Silk CIC 7 Nx</t>
  </si>
  <si>
    <t>Utgått 15.08.18</t>
  </si>
  <si>
    <t>Ny 15.08.18</t>
  </si>
  <si>
    <t>Muse iQ i2400 Power Plus BTE</t>
  </si>
  <si>
    <t>LINX Quattro RE961-DRWC</t>
  </si>
  <si>
    <t xml:space="preserve">LINX Quattro </t>
  </si>
  <si>
    <t>LINX Quattro RE962-DRW</t>
  </si>
  <si>
    <t>Ny 01.09.18</t>
  </si>
  <si>
    <t>Ny 1.1.16. Utgått 1.10.18</t>
  </si>
  <si>
    <t>Zerena 9 B 105</t>
  </si>
  <si>
    <t>Ny 1.10.18</t>
  </si>
  <si>
    <t>Utgått 15.10.2018</t>
  </si>
  <si>
    <t>Opn1</t>
  </si>
  <si>
    <t>Opn1 BTE PP</t>
  </si>
  <si>
    <t>153673/1711xx</t>
  </si>
  <si>
    <t>Opn1 miniRite T</t>
  </si>
  <si>
    <t>166745/171158/1765xx</t>
  </si>
  <si>
    <t>Opn1 miniRite</t>
  </si>
  <si>
    <t>144287/165425/1638xx</t>
  </si>
  <si>
    <t>Opn1 ITE/ITC</t>
  </si>
  <si>
    <t>188699/188700</t>
  </si>
  <si>
    <t>Opn1 CIC</t>
  </si>
  <si>
    <t>Ny 15.10.2018</t>
  </si>
  <si>
    <t>Ny 01.07.17. Utgått 15.10.2018</t>
  </si>
  <si>
    <t>Ny 1.11.16. Utgått 1.11.18</t>
  </si>
  <si>
    <t>Ny 01.11.2018</t>
  </si>
  <si>
    <t>P13_7Nx</t>
  </si>
  <si>
    <t>Pure Charge&amp;Go7 Nx</t>
  </si>
  <si>
    <t>PC&amp;G_7Nx</t>
  </si>
  <si>
    <t>M13_7Nx</t>
  </si>
  <si>
    <t>Motion Charge&amp;Go 7Nx</t>
  </si>
  <si>
    <t>MC&amp;G_7Nx</t>
  </si>
  <si>
    <t>Insio CT 7 Nx</t>
  </si>
  <si>
    <t>I7Nx_ITC</t>
  </si>
  <si>
    <t>Insio Silk CIC 7 Nx</t>
  </si>
  <si>
    <t>I7Nx_CIC</t>
  </si>
  <si>
    <t>Pure 7px HP</t>
  </si>
  <si>
    <t>P7px_HP</t>
  </si>
  <si>
    <t>Ny 10.11.17. Utgått 01.11.2018</t>
  </si>
  <si>
    <t>Cellion 7px HP</t>
  </si>
  <si>
    <t>CEL7px_HP</t>
  </si>
  <si>
    <t>Audeo M90 312</t>
  </si>
  <si>
    <t>050-0494-xx</t>
  </si>
  <si>
    <t>Ny 01.12.2018</t>
  </si>
  <si>
    <t>Ny 1.10.17. Utgått 01.12.2018</t>
  </si>
  <si>
    <t>Ny 1.9.16. Utgått 01.12.2018</t>
  </si>
  <si>
    <t>Audeo M90 R</t>
  </si>
  <si>
    <t>IIC</t>
  </si>
  <si>
    <t>Tilbehør unntatt propper 2019</t>
  </si>
  <si>
    <t>SHD 9</t>
  </si>
  <si>
    <t>Beat SHD 9-RS13</t>
  </si>
  <si>
    <t>Ny 01.11.17. Utgått 20.01.19</t>
  </si>
  <si>
    <t>Beat SHD 9-RS675</t>
  </si>
  <si>
    <t>Ny 20.01.19</t>
  </si>
  <si>
    <t>Audeo M90-312T</t>
  </si>
  <si>
    <t>Ny 1.9.16. Utgått 20.03.19</t>
  </si>
  <si>
    <t>Ny 20.03.19</t>
  </si>
  <si>
    <t>Utgått 20.03.2019</t>
  </si>
  <si>
    <t>Ny 20.03.2019</t>
  </si>
  <si>
    <t xml:space="preserve">Audeo M90-13T </t>
  </si>
  <si>
    <t>Ny 15.02.18. Ut 01.01.2019.</t>
  </si>
  <si>
    <t>Ny 1.1.19</t>
  </si>
  <si>
    <t>Livio</t>
  </si>
  <si>
    <t>Livio AI 2400 BTE 13</t>
  </si>
  <si>
    <t>Ny 15.03.2019</t>
  </si>
  <si>
    <t>Ut 15.03.2019</t>
  </si>
  <si>
    <t>OpnS</t>
  </si>
  <si>
    <t>OpnS 1 miniRite R</t>
  </si>
  <si>
    <t>Ny 01.01.2019</t>
  </si>
  <si>
    <t>Ny 15.02.18. Ut 01.01.2019</t>
  </si>
  <si>
    <t>Livio AI 2400 RIC 312</t>
  </si>
  <si>
    <t>Ny 01.07.17. Ut 15.03.2019.</t>
  </si>
  <si>
    <t>OpnS 1 BTE13 105</t>
  </si>
  <si>
    <t>OpnS 1 miniRite-T</t>
  </si>
  <si>
    <t>&lt;- 1. kvartal</t>
  </si>
  <si>
    <t>1. kvartal 2019</t>
  </si>
  <si>
    <t>pr 1.2.19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</si>
</sst>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0.00%"/>
  </numFmts>
  <fonts count="3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MS Sans Serif"/>
      <family val="2"/>
    </font>
    <font>
      <sz val="12"/>
      <name val="MS Sans Serif"/>
      <family val="2"/>
    </font>
    <font>
      <sz val="7.5"/>
      <name val="MS Sans Serif"/>
      <family val="2"/>
    </font>
    <font>
      <sz val="10"/>
      <name val="Arial"/>
      <family val="2"/>
    </font>
    <font>
      <sz val="8.5"/>
      <color indexed="10"/>
      <name val="MS Sans Serif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i/>
      <sz val="8.5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MS Sans Serif"/>
      <family val="2"/>
    </font>
    <font>
      <sz val="10"/>
      <name val="MS Sans Serif"/>
    </font>
    <font>
      <b/>
      <sz val="10"/>
      <name val="MS Sans Serif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2" fontId="15" fillId="0" borderId="0" applyFill="0" applyBorder="0" applyAlignment="0" applyProtection="0"/>
    <xf numFmtId="0" fontId="3" fillId="0" borderId="0"/>
    <xf numFmtId="164" fontId="1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</cellStyleXfs>
  <cellXfs count="626">
    <xf numFmtId="0" fontId="0" fillId="0" borderId="0" xfId="0"/>
    <xf numFmtId="0" fontId="8" fillId="0" borderId="0" xfId="0" applyFont="1"/>
    <xf numFmtId="0" fontId="8" fillId="0" borderId="2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0" fontId="0" fillId="0" borderId="0" xfId="0" applyFill="1"/>
    <xf numFmtId="0" fontId="8" fillId="0" borderId="0" xfId="0" applyFont="1" applyBorder="1"/>
    <xf numFmtId="0" fontId="0" fillId="3" borderId="0" xfId="0" applyFill="1"/>
    <xf numFmtId="0" fontId="8" fillId="4" borderId="0" xfId="0" applyFont="1" applyFill="1"/>
    <xf numFmtId="0" fontId="8" fillId="2" borderId="0" xfId="0" applyFont="1" applyFill="1"/>
    <xf numFmtId="0" fontId="8" fillId="3" borderId="0" xfId="0" applyFont="1" applyFill="1"/>
    <xf numFmtId="0" fontId="13" fillId="0" borderId="0" xfId="0" applyFont="1"/>
    <xf numFmtId="3" fontId="8" fillId="0" borderId="0" xfId="1" applyNumberFormat="1" applyFont="1"/>
    <xf numFmtId="3" fontId="8" fillId="0" borderId="2" xfId="1" applyNumberFormat="1" applyFont="1" applyBorder="1"/>
    <xf numFmtId="0" fontId="8" fillId="2" borderId="2" xfId="0" applyFont="1" applyFill="1" applyBorder="1"/>
    <xf numFmtId="3" fontId="8" fillId="0" borderId="0" xfId="1" applyNumberFormat="1" applyFont="1" applyBorder="1"/>
    <xf numFmtId="3" fontId="8" fillId="2" borderId="0" xfId="1" applyNumberFormat="1" applyFont="1" applyFill="1"/>
    <xf numFmtId="3" fontId="8" fillId="2" borderId="2" xfId="1" applyNumberFormat="1" applyFont="1" applyFill="1" applyBorder="1"/>
    <xf numFmtId="3" fontId="13" fillId="0" borderId="0" xfId="1" applyNumberFormat="1" applyFont="1"/>
    <xf numFmtId="3" fontId="8" fillId="2" borderId="0" xfId="1" applyNumberFormat="1" applyFont="1" applyFill="1" applyBorder="1"/>
    <xf numFmtId="3" fontId="8" fillId="0" borderId="0" xfId="0" applyNumberFormat="1" applyFont="1"/>
    <xf numFmtId="0" fontId="14" fillId="0" borderId="0" xfId="0" applyFont="1" applyFill="1" applyBorder="1"/>
    <xf numFmtId="0" fontId="14" fillId="0" borderId="0" xfId="0" applyFont="1"/>
    <xf numFmtId="3" fontId="14" fillId="0" borderId="0" xfId="1" applyNumberFormat="1" applyFont="1" applyFill="1" applyBorder="1"/>
    <xf numFmtId="0" fontId="14" fillId="2" borderId="0" xfId="0" applyFont="1" applyFill="1"/>
    <xf numFmtId="0" fontId="0" fillId="0" borderId="20" xfId="0" applyBorder="1"/>
    <xf numFmtId="0" fontId="0" fillId="0" borderId="9" xfId="0" applyFill="1" applyBorder="1"/>
    <xf numFmtId="0" fontId="8" fillId="0" borderId="22" xfId="0" applyFont="1" applyBorder="1"/>
    <xf numFmtId="0" fontId="8" fillId="0" borderId="23" xfId="0" applyFont="1" applyBorder="1"/>
    <xf numFmtId="3" fontId="8" fillId="0" borderId="22" xfId="1" applyNumberFormat="1" applyFont="1" applyBorder="1"/>
    <xf numFmtId="0" fontId="0" fillId="0" borderId="22" xfId="0" applyBorder="1"/>
    <xf numFmtId="0" fontId="8" fillId="3" borderId="22" xfId="0" applyFont="1" applyFill="1" applyBorder="1"/>
    <xf numFmtId="0" fontId="14" fillId="0" borderId="22" xfId="0" applyFont="1" applyBorder="1"/>
    <xf numFmtId="0" fontId="0" fillId="0" borderId="4" xfId="0" applyFill="1" applyBorder="1"/>
    <xf numFmtId="0" fontId="8" fillId="3" borderId="0" xfId="0" applyFont="1" applyFill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25" xfId="0" applyFill="1" applyBorder="1"/>
    <xf numFmtId="0" fontId="8" fillId="3" borderId="22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0" fillId="0" borderId="4" xfId="0" applyBorder="1"/>
    <xf numFmtId="0" fontId="0" fillId="3" borderId="0" xfId="0" applyFill="1" applyBorder="1" applyAlignment="1">
      <alignment wrapText="1"/>
    </xf>
    <xf numFmtId="0" fontId="0" fillId="0" borderId="27" xfId="0" applyFill="1" applyBorder="1"/>
    <xf numFmtId="0" fontId="0" fillId="3" borderId="28" xfId="0" applyFill="1" applyBorder="1" applyAlignment="1">
      <alignment wrapText="1"/>
    </xf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7" xfId="0" applyFill="1" applyBorder="1"/>
    <xf numFmtId="0" fontId="0" fillId="0" borderId="29" xfId="0" applyBorder="1"/>
    <xf numFmtId="0" fontId="8" fillId="3" borderId="8" xfId="0" applyFont="1" applyFill="1" applyBorder="1" applyAlignment="1">
      <alignment wrapText="1"/>
    </xf>
    <xf numFmtId="0" fontId="0" fillId="3" borderId="30" xfId="0" applyFill="1" applyBorder="1" applyAlignment="1">
      <alignment wrapText="1"/>
    </xf>
    <xf numFmtId="3" fontId="0" fillId="0" borderId="0" xfId="0" applyNumberFormat="1"/>
    <xf numFmtId="3" fontId="0" fillId="0" borderId="3" xfId="1" applyNumberFormat="1" applyFont="1" applyFill="1" applyBorder="1"/>
    <xf numFmtId="0" fontId="9" fillId="4" borderId="0" xfId="0" applyFont="1" applyFill="1"/>
    <xf numFmtId="0" fontId="9" fillId="3" borderId="0" xfId="0" applyFont="1" applyFill="1"/>
    <xf numFmtId="0" fontId="0" fillId="0" borderId="34" xfId="0" applyFill="1" applyBorder="1"/>
    <xf numFmtId="0" fontId="8" fillId="0" borderId="0" xfId="0" applyFont="1" applyFill="1" applyAlignment="1">
      <alignment wrapText="1"/>
    </xf>
    <xf numFmtId="0" fontId="8" fillId="0" borderId="22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30" xfId="0" applyFill="1" applyBorder="1" applyAlignment="1">
      <alignment wrapText="1"/>
    </xf>
    <xf numFmtId="3" fontId="0" fillId="0" borderId="0" xfId="1" applyNumberFormat="1" applyFont="1"/>
    <xf numFmtId="3" fontId="0" fillId="0" borderId="27" xfId="1" applyNumberFormat="1" applyFont="1" applyBorder="1"/>
    <xf numFmtId="3" fontId="0" fillId="3" borderId="28" xfId="1" applyNumberFormat="1" applyFont="1" applyFill="1" applyBorder="1" applyAlignment="1">
      <alignment wrapText="1"/>
    </xf>
    <xf numFmtId="3" fontId="0" fillId="0" borderId="28" xfId="1" applyNumberFormat="1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5" fillId="0" borderId="0" xfId="0" applyFont="1" applyFill="1" applyBorder="1"/>
    <xf numFmtId="0" fontId="8" fillId="0" borderId="0" xfId="0" applyFont="1" applyFill="1" applyBorder="1"/>
    <xf numFmtId="0" fontId="16" fillId="0" borderId="0" xfId="0" applyFont="1" applyFill="1" applyBorder="1"/>
    <xf numFmtId="0" fontId="8" fillId="5" borderId="0" xfId="0" applyFont="1" applyFill="1"/>
    <xf numFmtId="0" fontId="8" fillId="5" borderId="22" xfId="0" applyFont="1" applyFill="1" applyBorder="1"/>
    <xf numFmtId="0" fontId="9" fillId="5" borderId="0" xfId="0" applyFont="1" applyFill="1"/>
    <xf numFmtId="3" fontId="8" fillId="0" borderId="1" xfId="1" applyNumberFormat="1" applyFont="1" applyBorder="1"/>
    <xf numFmtId="3" fontId="5" fillId="0" borderId="0" xfId="1" applyNumberFormat="1" applyFont="1"/>
    <xf numFmtId="0" fontId="5" fillId="0" borderId="0" xfId="0" applyFont="1"/>
    <xf numFmtId="0" fontId="0" fillId="3" borderId="9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15" fillId="0" borderId="9" xfId="0" applyFont="1" applyBorder="1"/>
    <xf numFmtId="0" fontId="14" fillId="0" borderId="0" xfId="0" applyFont="1" applyFill="1"/>
    <xf numFmtId="0" fontId="5" fillId="4" borderId="0" xfId="0" applyFont="1" applyFill="1"/>
    <xf numFmtId="3" fontId="5" fillId="0" borderId="0" xfId="1" applyNumberFormat="1" applyFont="1" applyFill="1"/>
    <xf numFmtId="0" fontId="5" fillId="0" borderId="0" xfId="0" applyFont="1" applyFill="1"/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0" fontId="5" fillId="3" borderId="0" xfId="0" applyFont="1" applyFill="1"/>
    <xf numFmtId="1" fontId="5" fillId="0" borderId="0" xfId="0" applyNumberFormat="1" applyFont="1" applyFill="1"/>
    <xf numFmtId="3" fontId="5" fillId="0" borderId="2" xfId="1" applyNumberFormat="1" applyFont="1" applyBorder="1"/>
    <xf numFmtId="3" fontId="5" fillId="0" borderId="0" xfId="1" applyNumberFormat="1" applyFont="1" applyBorder="1"/>
    <xf numFmtId="1" fontId="5" fillId="0" borderId="0" xfId="0" applyNumberFormat="1" applyFont="1"/>
    <xf numFmtId="0" fontId="5" fillId="5" borderId="22" xfId="0" quotePrefix="1" applyFont="1" applyFill="1" applyBorder="1"/>
    <xf numFmtId="0" fontId="8" fillId="6" borderId="22" xfId="0" applyFont="1" applyFill="1" applyBorder="1"/>
    <xf numFmtId="0" fontId="5" fillId="6" borderId="22" xfId="0" quotePrefix="1" applyFont="1" applyFill="1" applyBorder="1"/>
    <xf numFmtId="0" fontId="8" fillId="3" borderId="23" xfId="0" applyFont="1" applyFill="1" applyBorder="1"/>
    <xf numFmtId="0" fontId="8" fillId="3" borderId="44" xfId="0" applyFont="1" applyFill="1" applyBorder="1"/>
    <xf numFmtId="0" fontId="5" fillId="0" borderId="0" xfId="0" applyFont="1" applyBorder="1"/>
    <xf numFmtId="0" fontId="15" fillId="7" borderId="0" xfId="4" applyFont="1" applyFill="1" applyAlignment="1">
      <alignment horizontal="center"/>
    </xf>
    <xf numFmtId="0" fontId="15" fillId="0" borderId="0" xfId="4" applyFill="1" applyProtection="1">
      <protection locked="0"/>
    </xf>
    <xf numFmtId="0" fontId="15" fillId="0" borderId="0" xfId="4" applyFill="1" applyAlignment="1" applyProtection="1">
      <alignment vertical="top" wrapText="1"/>
    </xf>
    <xf numFmtId="0" fontId="15" fillId="0" borderId="0" xfId="4" applyFill="1" applyAlignment="1" applyProtection="1">
      <alignment horizontal="left" vertical="top"/>
      <protection locked="0"/>
    </xf>
    <xf numFmtId="0" fontId="15" fillId="0" borderId="0" xfId="4" applyProtection="1">
      <protection locked="0"/>
    </xf>
    <xf numFmtId="0" fontId="15" fillId="0" borderId="0" xfId="4"/>
    <xf numFmtId="0" fontId="15" fillId="7" borderId="51" xfId="4" applyFont="1" applyFill="1" applyBorder="1" applyAlignment="1">
      <alignment horizontal="center"/>
    </xf>
    <xf numFmtId="0" fontId="17" fillId="0" borderId="0" xfId="4" applyFont="1" applyFill="1" applyAlignment="1">
      <alignment horizontal="center"/>
    </xf>
    <xf numFmtId="0" fontId="15" fillId="0" borderId="0" xfId="4" applyFont="1" applyFill="1" applyAlignment="1">
      <alignment horizontal="right" vertical="center" wrapText="1"/>
    </xf>
    <xf numFmtId="0" fontId="15" fillId="0" borderId="0" xfId="4" applyFont="1" applyFill="1" applyAlignment="1">
      <alignment horizontal="center"/>
    </xf>
    <xf numFmtId="0" fontId="15" fillId="0" borderId="0" xfId="4" applyFont="1" applyFill="1" applyAlignment="1" applyProtection="1">
      <alignment horizontal="center"/>
      <protection locked="0"/>
    </xf>
    <xf numFmtId="0" fontId="15" fillId="8" borderId="51" xfId="4" applyFont="1" applyFill="1" applyBorder="1" applyAlignment="1">
      <alignment horizontal="center"/>
    </xf>
    <xf numFmtId="0" fontId="18" fillId="9" borderId="51" xfId="4" applyFont="1" applyFill="1" applyBorder="1" applyAlignment="1">
      <alignment horizontal="center"/>
    </xf>
    <xf numFmtId="0" fontId="18" fillId="10" borderId="51" xfId="4" applyFont="1" applyFill="1" applyBorder="1" applyAlignment="1">
      <alignment horizontal="center" wrapText="1"/>
    </xf>
    <xf numFmtId="0" fontId="18" fillId="9" borderId="51" xfId="4" applyFont="1" applyFill="1" applyBorder="1" applyAlignment="1">
      <alignment horizontal="center" wrapText="1"/>
    </xf>
    <xf numFmtId="0" fontId="15" fillId="0" borderId="52" xfId="4" applyBorder="1" applyAlignment="1">
      <alignment horizontal="center"/>
    </xf>
    <xf numFmtId="0" fontId="15" fillId="0" borderId="52" xfId="4" applyFill="1" applyBorder="1"/>
    <xf numFmtId="0" fontId="15" fillId="0" borderId="52" xfId="4" applyBorder="1"/>
    <xf numFmtId="0" fontId="15" fillId="0" borderId="52" xfId="4" applyFill="1" applyBorder="1" applyProtection="1">
      <protection locked="0"/>
    </xf>
    <xf numFmtId="0" fontId="15" fillId="0" borderId="50" xfId="4" applyBorder="1" applyAlignment="1">
      <alignment horizontal="center"/>
    </xf>
    <xf numFmtId="0" fontId="15" fillId="0" borderId="50" xfId="4" applyFill="1" applyBorder="1"/>
    <xf numFmtId="3" fontId="15" fillId="0" borderId="50" xfId="4" applyNumberFormat="1" applyFill="1" applyBorder="1" applyAlignment="1" applyProtection="1">
      <protection locked="0"/>
    </xf>
    <xf numFmtId="49" fontId="15" fillId="0" borderId="50" xfId="4" applyNumberFormat="1" applyFill="1" applyBorder="1" applyAlignment="1" applyProtection="1">
      <alignment horizontal="left"/>
      <protection locked="0"/>
    </xf>
    <xf numFmtId="49" fontId="15" fillId="0" borderId="50" xfId="4" applyNumberFormat="1" applyBorder="1" applyAlignment="1" applyProtection="1">
      <alignment horizontal="left"/>
      <protection locked="0"/>
    </xf>
    <xf numFmtId="0" fontId="15" fillId="0" borderId="50" xfId="4" applyBorder="1"/>
    <xf numFmtId="0" fontId="15" fillId="9" borderId="0" xfId="4" applyFont="1" applyFill="1" applyBorder="1" applyAlignment="1">
      <alignment horizontal="center"/>
    </xf>
    <xf numFmtId="0" fontId="19" fillId="9" borderId="0" xfId="4" applyFont="1" applyFill="1" applyAlignment="1">
      <alignment horizontal="right" vertical="center" wrapText="1"/>
    </xf>
    <xf numFmtId="0" fontId="15" fillId="9" borderId="0" xfId="4" applyFill="1"/>
    <xf numFmtId="0" fontId="15" fillId="0" borderId="50" xfId="4" applyFont="1" applyBorder="1" applyAlignment="1">
      <alignment horizontal="center"/>
    </xf>
    <xf numFmtId="0" fontId="15" fillId="0" borderId="43" xfId="4" applyFont="1" applyFill="1" applyBorder="1"/>
    <xf numFmtId="0" fontId="15" fillId="0" borderId="50" xfId="4" applyFont="1" applyFill="1" applyBorder="1"/>
    <xf numFmtId="3" fontId="15" fillId="0" borderId="50" xfId="4" applyNumberFormat="1" applyFont="1" applyFill="1" applyBorder="1" applyAlignment="1" applyProtection="1">
      <protection locked="0"/>
    </xf>
    <xf numFmtId="49" fontId="15" fillId="0" borderId="53" xfId="4" applyNumberFormat="1" applyFont="1" applyFill="1" applyBorder="1" applyAlignment="1" applyProtection="1">
      <alignment horizontal="left"/>
      <protection locked="0"/>
    </xf>
    <xf numFmtId="166" fontId="15" fillId="0" borderId="43" xfId="5" applyNumberFormat="1" applyFont="1" applyFill="1" applyBorder="1" applyProtection="1">
      <protection locked="0"/>
    </xf>
    <xf numFmtId="49" fontId="15" fillId="0" borderId="50" xfId="4" applyNumberFormat="1" applyFont="1" applyBorder="1" applyAlignment="1" applyProtection="1">
      <alignment horizontal="left"/>
      <protection locked="0"/>
    </xf>
    <xf numFmtId="0" fontId="15" fillId="0" borderId="50" xfId="4" applyFont="1" applyBorder="1"/>
    <xf numFmtId="0" fontId="15" fillId="0" borderId="50" xfId="4" applyFont="1" applyFill="1" applyBorder="1" applyProtection="1">
      <protection locked="0"/>
    </xf>
    <xf numFmtId="0" fontId="15" fillId="0" borderId="50" xfId="4" applyFont="1" applyBorder="1" applyProtection="1">
      <protection locked="0"/>
    </xf>
    <xf numFmtId="0" fontId="15" fillId="0" borderId="53" xfId="4" applyFont="1" applyFill="1" applyBorder="1" applyProtection="1">
      <protection locked="0"/>
    </xf>
    <xf numFmtId="0" fontId="15" fillId="0" borderId="43" xfId="4" applyFont="1" applyFill="1" applyBorder="1" applyAlignment="1">
      <alignment horizontal="center"/>
    </xf>
    <xf numFmtId="0" fontId="15" fillId="0" borderId="0" xfId="4" applyFont="1"/>
    <xf numFmtId="0" fontId="15" fillId="0" borderId="43" xfId="4" applyFont="1" applyBorder="1"/>
    <xf numFmtId="0" fontId="15" fillId="0" borderId="53" xfId="4" applyFont="1" applyFill="1" applyBorder="1"/>
    <xf numFmtId="166" fontId="15" fillId="0" borderId="43" xfId="5" applyNumberFormat="1" applyFont="1" applyFill="1" applyBorder="1" applyAlignment="1" applyProtection="1">
      <alignment horizontal="right"/>
      <protection locked="0"/>
    </xf>
    <xf numFmtId="49" fontId="15" fillId="0" borderId="50" xfId="4" applyNumberFormat="1" applyFont="1" applyFill="1" applyBorder="1" applyAlignment="1" applyProtection="1">
      <alignment horizontal="left"/>
      <protection locked="0"/>
    </xf>
    <xf numFmtId="166" fontId="15" fillId="0" borderId="50" xfId="5" applyNumberFormat="1" applyFont="1" applyFill="1" applyBorder="1" applyAlignment="1" applyProtection="1">
      <alignment horizontal="right"/>
      <protection locked="0"/>
    </xf>
    <xf numFmtId="0" fontId="15" fillId="0" borderId="56" xfId="4" applyFont="1" applyFill="1" applyBorder="1"/>
    <xf numFmtId="166" fontId="15" fillId="0" borderId="50" xfId="5" applyNumberFormat="1" applyFont="1" applyFill="1" applyBorder="1" applyProtection="1">
      <protection locked="0"/>
    </xf>
    <xf numFmtId="0" fontId="15" fillId="0" borderId="56" xfId="4" applyFont="1" applyBorder="1" applyAlignment="1">
      <alignment horizontal="center"/>
    </xf>
    <xf numFmtId="0" fontId="15" fillId="0" borderId="43" xfId="4" applyFont="1" applyBorder="1" applyAlignment="1">
      <alignment horizontal="center"/>
    </xf>
    <xf numFmtId="166" fontId="15" fillId="0" borderId="50" xfId="5" applyNumberFormat="1" applyFont="1" applyFill="1" applyBorder="1"/>
    <xf numFmtId="0" fontId="15" fillId="0" borderId="50" xfId="4" applyFont="1" applyFill="1" applyBorder="1" applyAlignment="1">
      <alignment horizontal="center"/>
    </xf>
    <xf numFmtId="166" fontId="21" fillId="0" borderId="50" xfId="5" applyNumberFormat="1" applyFont="1" applyFill="1" applyBorder="1" applyProtection="1">
      <protection locked="0"/>
    </xf>
    <xf numFmtId="0" fontId="15" fillId="0" borderId="0" xfId="4" applyFill="1"/>
    <xf numFmtId="0" fontId="15" fillId="0" borderId="55" xfId="4" applyFont="1" applyBorder="1" applyAlignment="1">
      <alignment horizontal="center"/>
    </xf>
    <xf numFmtId="0" fontId="15" fillId="0" borderId="0" xfId="4" applyFont="1" applyFill="1" applyBorder="1"/>
    <xf numFmtId="166" fontId="15" fillId="0" borderId="0" xfId="5" applyNumberFormat="1" applyFont="1" applyFill="1" applyBorder="1" applyProtection="1">
      <protection locked="0"/>
    </xf>
    <xf numFmtId="0" fontId="15" fillId="0" borderId="50" xfId="4" applyFont="1" applyFill="1" applyBorder="1" applyAlignment="1">
      <alignment horizontal="left"/>
    </xf>
    <xf numFmtId="0" fontId="15" fillId="0" borderId="0" xfId="4" applyFont="1" applyFill="1"/>
    <xf numFmtId="0" fontId="15" fillId="0" borderId="53" xfId="4" applyFont="1" applyBorder="1" applyProtection="1">
      <protection locked="0"/>
    </xf>
    <xf numFmtId="0" fontId="15" fillId="0" borderId="43" xfId="4" applyFont="1" applyBorder="1" applyProtection="1">
      <protection locked="0"/>
    </xf>
    <xf numFmtId="49" fontId="15" fillId="0" borderId="53" xfId="4" applyNumberFormat="1" applyFont="1" applyBorder="1" applyAlignment="1" applyProtection="1">
      <alignment horizontal="left"/>
      <protection locked="0"/>
    </xf>
    <xf numFmtId="49" fontId="15" fillId="0" borderId="43" xfId="4" applyNumberFormat="1" applyFont="1" applyBorder="1" applyAlignment="1" applyProtection="1">
      <alignment horizontal="left"/>
      <protection locked="0"/>
    </xf>
    <xf numFmtId="0" fontId="15" fillId="0" borderId="55" xfId="4" applyFont="1" applyFill="1" applyBorder="1"/>
    <xf numFmtId="166" fontId="15" fillId="0" borderId="43" xfId="5" applyNumberFormat="1" applyFont="1" applyFill="1" applyBorder="1"/>
    <xf numFmtId="3" fontId="15" fillId="0" borderId="50" xfId="4" applyNumberFormat="1" applyFont="1" applyBorder="1" applyAlignment="1" applyProtection="1">
      <protection locked="0"/>
    </xf>
    <xf numFmtId="166" fontId="15" fillId="0" borderId="50" xfId="5" applyNumberFormat="1" applyFont="1" applyBorder="1" applyProtection="1">
      <protection locked="0"/>
    </xf>
    <xf numFmtId="0" fontId="15" fillId="0" borderId="0" xfId="4" applyFont="1" applyBorder="1" applyAlignment="1">
      <alignment horizontal="center"/>
    </xf>
    <xf numFmtId="0" fontId="15" fillId="0" borderId="0" xfId="4" applyBorder="1"/>
    <xf numFmtId="0" fontId="19" fillId="9" borderId="0" xfId="4" applyFont="1" applyFill="1" applyAlignment="1">
      <alignment horizontal="left" vertical="center"/>
    </xf>
    <xf numFmtId="49" fontId="15" fillId="0" borderId="0" xfId="4" applyNumberFormat="1" applyFont="1" applyFill="1" applyBorder="1" applyAlignment="1" applyProtection="1">
      <protection locked="0"/>
    </xf>
    <xf numFmtId="0" fontId="15" fillId="0" borderId="0" xfId="4" applyFont="1" applyFill="1" applyBorder="1" applyProtection="1">
      <protection locked="0"/>
    </xf>
    <xf numFmtId="0" fontId="15" fillId="0" borderId="0" xfId="4" applyFont="1" applyBorder="1" applyProtection="1">
      <protection locked="0"/>
    </xf>
    <xf numFmtId="0" fontId="15" fillId="0" borderId="0" xfId="4" applyFont="1" applyBorder="1"/>
    <xf numFmtId="49" fontId="15" fillId="0" borderId="50" xfId="4" applyNumberFormat="1" applyFont="1" applyFill="1" applyBorder="1" applyAlignment="1" applyProtection="1">
      <protection locked="0"/>
    </xf>
    <xf numFmtId="0" fontId="15" fillId="9" borderId="0" xfId="4" applyFont="1" applyFill="1" applyBorder="1" applyProtection="1">
      <protection locked="0"/>
    </xf>
    <xf numFmtId="166" fontId="15" fillId="9" borderId="0" xfId="5" applyNumberFormat="1" applyFont="1" applyFill="1" applyBorder="1" applyProtection="1">
      <protection locked="0"/>
    </xf>
    <xf numFmtId="0" fontId="15" fillId="9" borderId="0" xfId="4" applyFont="1" applyFill="1" applyBorder="1"/>
    <xf numFmtId="0" fontId="15" fillId="0" borderId="53" xfId="4" applyFont="1" applyBorder="1"/>
    <xf numFmtId="0" fontId="15" fillId="0" borderId="0" xfId="4" applyAlignment="1" applyProtection="1">
      <alignment horizontal="center"/>
      <protection locked="0"/>
    </xf>
    <xf numFmtId="0" fontId="15" fillId="0" borderId="54" xfId="4" applyFont="1" applyFill="1" applyBorder="1"/>
    <xf numFmtId="0" fontId="15" fillId="11" borderId="0" xfId="4" applyFill="1"/>
    <xf numFmtId="0" fontId="15" fillId="0" borderId="0" xfId="4" applyFont="1" applyFill="1" applyBorder="1" applyAlignment="1">
      <alignment horizontal="center"/>
    </xf>
    <xf numFmtId="3" fontId="15" fillId="0" borderId="0" xfId="4" applyNumberFormat="1" applyFont="1" applyFill="1" applyBorder="1" applyAlignment="1" applyProtection="1">
      <protection locked="0"/>
    </xf>
    <xf numFmtId="49" fontId="15" fillId="0" borderId="0" xfId="4" applyNumberFormat="1" applyFont="1" applyFill="1" applyBorder="1" applyAlignment="1" applyProtection="1">
      <alignment horizontal="left"/>
      <protection locked="0"/>
    </xf>
    <xf numFmtId="0" fontId="15" fillId="0" borderId="50" xfId="4" applyNumberFormat="1" applyFont="1" applyFill="1" applyBorder="1" applyAlignment="1" applyProtection="1">
      <alignment horizontal="right"/>
      <protection locked="0"/>
    </xf>
    <xf numFmtId="0" fontId="15" fillId="0" borderId="50" xfId="4" applyFont="1" applyBorder="1" applyAlignment="1">
      <alignment horizontal="left"/>
    </xf>
    <xf numFmtId="0" fontId="15" fillId="0" borderId="43" xfId="4" applyFont="1" applyFill="1" applyBorder="1" applyAlignment="1">
      <alignment horizontal="left"/>
    </xf>
    <xf numFmtId="0" fontId="15" fillId="0" borderId="56" xfId="4" applyFont="1" applyFill="1" applyBorder="1" applyAlignment="1">
      <alignment horizontal="center"/>
    </xf>
    <xf numFmtId="0" fontId="15" fillId="0" borderId="23" xfId="4" applyFont="1" applyFill="1" applyBorder="1" applyAlignment="1">
      <alignment horizontal="left"/>
    </xf>
    <xf numFmtId="0" fontId="15" fillId="0" borderId="56" xfId="4" applyFont="1" applyFill="1" applyBorder="1" applyProtection="1">
      <protection locked="0"/>
    </xf>
    <xf numFmtId="0" fontId="15" fillId="0" borderId="58" xfId="4" applyFont="1" applyFill="1" applyBorder="1" applyProtection="1">
      <protection locked="0"/>
    </xf>
    <xf numFmtId="49" fontId="15" fillId="0" borderId="43" xfId="4" applyNumberFormat="1" applyFont="1" applyFill="1" applyBorder="1" applyAlignment="1" applyProtection="1">
      <alignment horizontal="left"/>
      <protection locked="0"/>
    </xf>
    <xf numFmtId="0" fontId="15" fillId="0" borderId="59" xfId="4" applyFont="1" applyFill="1" applyBorder="1" applyAlignment="1">
      <alignment horizontal="center"/>
    </xf>
    <xf numFmtId="0" fontId="15" fillId="0" borderId="59" xfId="4" applyFont="1" applyFill="1" applyBorder="1" applyAlignment="1">
      <alignment horizontal="left"/>
    </xf>
    <xf numFmtId="0" fontId="15" fillId="0" borderId="59" xfId="4" applyFont="1" applyFill="1" applyBorder="1"/>
    <xf numFmtId="0" fontId="15" fillId="0" borderId="59" xfId="4" applyFont="1" applyFill="1" applyBorder="1" applyProtection="1">
      <protection locked="0"/>
    </xf>
    <xf numFmtId="166" fontId="15" fillId="0" borderId="59" xfId="5" applyNumberFormat="1" applyFont="1" applyFill="1" applyBorder="1" applyProtection="1">
      <protection locked="0"/>
    </xf>
    <xf numFmtId="0" fontId="15" fillId="0" borderId="55" xfId="4" applyFont="1" applyFill="1" applyBorder="1" applyAlignment="1">
      <alignment horizontal="center"/>
    </xf>
    <xf numFmtId="0" fontId="15" fillId="0" borderId="44" xfId="4" applyFont="1" applyFill="1" applyBorder="1" applyAlignment="1">
      <alignment horizontal="left"/>
    </xf>
    <xf numFmtId="0" fontId="15" fillId="0" borderId="55" xfId="4" applyFont="1" applyFill="1" applyBorder="1" applyProtection="1">
      <protection locked="0"/>
    </xf>
    <xf numFmtId="0" fontId="15" fillId="0" borderId="60" xfId="4" applyFont="1" applyFill="1" applyBorder="1" applyProtection="1">
      <protection locked="0"/>
    </xf>
    <xf numFmtId="166" fontId="15" fillId="0" borderId="44" xfId="5" applyNumberFormat="1" applyFont="1" applyFill="1" applyBorder="1" applyProtection="1">
      <protection locked="0"/>
    </xf>
    <xf numFmtId="0" fontId="15" fillId="0" borderId="53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left"/>
    </xf>
    <xf numFmtId="0" fontId="18" fillId="12" borderId="51" xfId="4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9" xfId="0" applyFont="1" applyBorder="1"/>
    <xf numFmtId="0" fontId="5" fillId="0" borderId="22" xfId="0" applyFont="1" applyFill="1" applyBorder="1"/>
    <xf numFmtId="3" fontId="5" fillId="0" borderId="28" xfId="1" applyNumberFormat="1" applyFont="1" applyFill="1" applyBorder="1"/>
    <xf numFmtId="3" fontId="5" fillId="0" borderId="28" xfId="1" applyNumberFormat="1" applyFont="1" applyBorder="1"/>
    <xf numFmtId="3" fontId="5" fillId="0" borderId="9" xfId="1" applyNumberFormat="1" applyFont="1" applyFill="1" applyBorder="1"/>
    <xf numFmtId="3" fontId="5" fillId="0" borderId="3" xfId="1" applyNumberFormat="1" applyFont="1" applyFill="1" applyBorder="1"/>
    <xf numFmtId="3" fontId="5" fillId="0" borderId="8" xfId="0" applyNumberFormat="1" applyFont="1" applyFill="1" applyBorder="1"/>
    <xf numFmtId="3" fontId="5" fillId="0" borderId="30" xfId="1" applyNumberFormat="1" applyFont="1" applyBorder="1"/>
    <xf numFmtId="0" fontId="5" fillId="0" borderId="21" xfId="0" applyFont="1" applyBorder="1"/>
    <xf numFmtId="0" fontId="5" fillId="0" borderId="24" xfId="0" applyFont="1" applyFill="1" applyBorder="1"/>
    <xf numFmtId="0" fontId="5" fillId="0" borderId="26" xfId="0" applyFont="1" applyFill="1" applyBorder="1"/>
    <xf numFmtId="3" fontId="5" fillId="0" borderId="33" xfId="1" applyNumberFormat="1" applyFont="1" applyFill="1" applyBorder="1"/>
    <xf numFmtId="3" fontId="5" fillId="0" borderId="33" xfId="1" applyNumberFormat="1" applyFont="1" applyBorder="1"/>
    <xf numFmtId="3" fontId="5" fillId="0" borderId="21" xfId="1" applyNumberFormat="1" applyFont="1" applyFill="1" applyBorder="1"/>
    <xf numFmtId="0" fontId="5" fillId="0" borderId="24" xfId="0" applyFont="1" applyBorder="1"/>
    <xf numFmtId="0" fontId="5" fillId="0" borderId="21" xfId="0" applyFont="1" applyFill="1" applyBorder="1"/>
    <xf numFmtId="3" fontId="5" fillId="0" borderId="32" xfId="1" applyNumberFormat="1" applyFont="1" applyFill="1" applyBorder="1"/>
    <xf numFmtId="3" fontId="5" fillId="0" borderId="38" xfId="0" applyNumberFormat="1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0" fontId="5" fillId="0" borderId="31" xfId="0" applyFont="1" applyFill="1" applyBorder="1"/>
    <xf numFmtId="3" fontId="5" fillId="0" borderId="35" xfId="1" applyNumberFormat="1" applyFont="1" applyBorder="1"/>
    <xf numFmtId="0" fontId="19" fillId="9" borderId="0" xfId="0" applyFont="1" applyFill="1" applyBorder="1" applyAlignment="1">
      <alignment horizontal="left" vertical="center"/>
    </xf>
    <xf numFmtId="3" fontId="22" fillId="0" borderId="0" xfId="0" applyNumberFormat="1" applyFont="1" applyFill="1" applyBorder="1"/>
    <xf numFmtId="0" fontId="22" fillId="0" borderId="0" xfId="0" applyFont="1" applyBorder="1"/>
    <xf numFmtId="0" fontId="15" fillId="9" borderId="0" xfId="0" applyFont="1" applyFill="1" applyBorder="1" applyAlignment="1" applyProtection="1">
      <alignment horizontal="center"/>
      <protection locked="0"/>
    </xf>
    <xf numFmtId="0" fontId="15" fillId="9" borderId="0" xfId="0" applyFont="1" applyFill="1" applyBorder="1" applyProtection="1">
      <protection locked="0"/>
    </xf>
    <xf numFmtId="0" fontId="15" fillId="9" borderId="50" xfId="0" applyFont="1" applyFill="1" applyBorder="1" applyAlignment="1">
      <alignment horizontal="center"/>
    </xf>
    <xf numFmtId="49" fontId="15" fillId="0" borderId="50" xfId="0" applyNumberFormat="1" applyFont="1" applyFill="1" applyBorder="1" applyAlignment="1" applyProtection="1">
      <alignment horizontal="center"/>
      <protection locked="0"/>
    </xf>
    <xf numFmtId="49" fontId="15" fillId="0" borderId="50" xfId="0" applyNumberFormat="1" applyFont="1" applyFill="1" applyBorder="1" applyAlignment="1" applyProtection="1">
      <protection locked="0"/>
    </xf>
    <xf numFmtId="0" fontId="15" fillId="0" borderId="50" xfId="0" applyFont="1" applyBorder="1" applyProtection="1">
      <protection locked="0"/>
    </xf>
    <xf numFmtId="49" fontId="15" fillId="0" borderId="50" xfId="0" applyNumberFormat="1" applyFont="1" applyBorder="1" applyAlignment="1" applyProtection="1">
      <alignment horizontal="left"/>
      <protection locked="0"/>
    </xf>
    <xf numFmtId="49" fontId="15" fillId="0" borderId="53" xfId="0" applyNumberFormat="1" applyFont="1" applyBorder="1" applyAlignment="1" applyProtection="1">
      <alignment horizontal="left"/>
      <protection locked="0"/>
    </xf>
    <xf numFmtId="3" fontId="15" fillId="0" borderId="54" xfId="0" applyNumberFormat="1" applyFont="1" applyFill="1" applyBorder="1" applyAlignment="1" applyProtection="1">
      <protection locked="0"/>
    </xf>
    <xf numFmtId="3" fontId="15" fillId="0" borderId="50" xfId="0" applyNumberFormat="1" applyFont="1" applyFill="1" applyBorder="1" applyAlignment="1" applyProtection="1"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5" fillId="0" borderId="50" xfId="0" applyFont="1" applyFill="1" applyBorder="1" applyAlignment="1" applyProtection="1">
      <alignment horizontal="center"/>
      <protection locked="0"/>
    </xf>
    <xf numFmtId="0" fontId="15" fillId="0" borderId="50" xfId="0" applyFont="1" applyFill="1" applyBorder="1" applyProtection="1">
      <protection locked="0"/>
    </xf>
    <xf numFmtId="0" fontId="15" fillId="0" borderId="56" xfId="0" applyFont="1" applyBorder="1" applyAlignment="1" applyProtection="1">
      <alignment horizontal="center"/>
      <protection locked="0"/>
    </xf>
    <xf numFmtId="0" fontId="15" fillId="0" borderId="56" xfId="0" applyFont="1" applyBorder="1" applyProtection="1">
      <protection locked="0"/>
    </xf>
    <xf numFmtId="3" fontId="15" fillId="0" borderId="56" xfId="0" applyNumberFormat="1" applyFont="1" applyFill="1" applyBorder="1" applyAlignment="1" applyProtection="1">
      <protection locked="0"/>
    </xf>
    <xf numFmtId="0" fontId="15" fillId="0" borderId="43" xfId="0" applyFont="1" applyBorder="1" applyAlignment="1" applyProtection="1">
      <alignment horizontal="center"/>
      <protection locked="0"/>
    </xf>
    <xf numFmtId="0" fontId="15" fillId="0" borderId="43" xfId="0" applyFont="1" applyBorder="1" applyProtection="1">
      <protection locked="0"/>
    </xf>
    <xf numFmtId="3" fontId="15" fillId="0" borderId="43" xfId="0" applyNumberFormat="1" applyFont="1" applyFill="1" applyBorder="1" applyAlignment="1" applyProtection="1">
      <protection locked="0"/>
    </xf>
    <xf numFmtId="0" fontId="22" fillId="0" borderId="0" xfId="0" applyFont="1" applyBorder="1" applyAlignment="1">
      <alignment horizontal="center"/>
    </xf>
    <xf numFmtId="3" fontId="22" fillId="0" borderId="0" xfId="0" applyNumberFormat="1" applyFont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/>
    <xf numFmtId="3" fontId="23" fillId="0" borderId="0" xfId="0" applyNumberFormat="1" applyFont="1" applyFill="1" applyBorder="1"/>
    <xf numFmtId="0" fontId="24" fillId="0" borderId="0" xfId="0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3" fontId="22" fillId="0" borderId="0" xfId="1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left"/>
    </xf>
    <xf numFmtId="3" fontId="22" fillId="0" borderId="5" xfId="0" applyNumberFormat="1" applyFont="1" applyFill="1" applyBorder="1"/>
    <xf numFmtId="1" fontId="25" fillId="0" borderId="0" xfId="0" applyNumberFormat="1" applyFont="1" applyFill="1" applyBorder="1"/>
    <xf numFmtId="3" fontId="26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3" fontId="22" fillId="0" borderId="1" xfId="0" applyNumberFormat="1" applyFont="1" applyFill="1" applyBorder="1"/>
    <xf numFmtId="3" fontId="22" fillId="0" borderId="17" xfId="1" applyNumberFormat="1" applyFont="1" applyFill="1" applyBorder="1"/>
    <xf numFmtId="2" fontId="22" fillId="0" borderId="0" xfId="0" applyNumberFormat="1" applyFont="1" applyFill="1" applyBorder="1" applyAlignment="1">
      <alignment horizontal="left"/>
    </xf>
    <xf numFmtId="0" fontId="22" fillId="0" borderId="6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center"/>
    </xf>
    <xf numFmtId="3" fontId="22" fillId="0" borderId="7" xfId="1" applyNumberFormat="1" applyFont="1" applyFill="1" applyBorder="1"/>
    <xf numFmtId="165" fontId="22" fillId="0" borderId="0" xfId="2" applyNumberFormat="1" applyFont="1" applyFill="1" applyBorder="1"/>
    <xf numFmtId="165" fontId="22" fillId="0" borderId="3" xfId="2" applyNumberFormat="1" applyFont="1" applyFill="1" applyBorder="1"/>
    <xf numFmtId="165" fontId="22" fillId="0" borderId="18" xfId="2" applyNumberFormat="1" applyFont="1" applyFill="1" applyBorder="1"/>
    <xf numFmtId="0" fontId="22" fillId="0" borderId="8" xfId="0" applyFont="1" applyFill="1" applyBorder="1" applyAlignment="1">
      <alignment horizontal="left"/>
    </xf>
    <xf numFmtId="3" fontId="22" fillId="0" borderId="0" xfId="1" applyNumberFormat="1" applyFont="1" applyFill="1" applyBorder="1"/>
    <xf numFmtId="0" fontId="22" fillId="0" borderId="10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center"/>
    </xf>
    <xf numFmtId="3" fontId="22" fillId="0" borderId="11" xfId="1" applyNumberFormat="1" applyFont="1" applyFill="1" applyBorder="1"/>
    <xf numFmtId="9" fontId="22" fillId="0" borderId="11" xfId="2" applyFont="1" applyFill="1" applyBorder="1"/>
    <xf numFmtId="9" fontId="22" fillId="0" borderId="19" xfId="2" applyFont="1" applyFill="1" applyBorder="1"/>
    <xf numFmtId="0" fontId="22" fillId="0" borderId="1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center"/>
    </xf>
    <xf numFmtId="3" fontId="22" fillId="0" borderId="2" xfId="1" applyNumberFormat="1" applyFont="1" applyFill="1" applyBorder="1"/>
    <xf numFmtId="0" fontId="22" fillId="0" borderId="14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center"/>
    </xf>
    <xf numFmtId="9" fontId="22" fillId="0" borderId="15" xfId="2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9" xfId="0" applyFont="1" applyFill="1" applyBorder="1"/>
    <xf numFmtId="3" fontId="22" fillId="0" borderId="0" xfId="1" applyNumberFormat="1" applyFont="1" applyFill="1" applyBorder="1" applyAlignment="1"/>
    <xf numFmtId="165" fontId="22" fillId="0" borderId="0" xfId="2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/>
    <xf numFmtId="0" fontId="22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center"/>
    </xf>
    <xf numFmtId="3" fontId="22" fillId="0" borderId="5" xfId="1" applyNumberFormat="1" applyFont="1" applyFill="1" applyBorder="1"/>
    <xf numFmtId="165" fontId="22" fillId="0" borderId="5" xfId="2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" fontId="15" fillId="0" borderId="46" xfId="0" applyNumberFormat="1" applyFont="1" applyFill="1" applyBorder="1"/>
    <xf numFmtId="1" fontId="15" fillId="0" borderId="9" xfId="0" applyNumberFormat="1" applyFont="1" applyFill="1" applyBorder="1"/>
    <xf numFmtId="3" fontId="15" fillId="0" borderId="46" xfId="0" applyNumberFormat="1" applyFont="1" applyFill="1" applyBorder="1"/>
    <xf numFmtId="1" fontId="15" fillId="0" borderId="13" xfId="0" applyNumberFormat="1" applyFont="1" applyFill="1" applyBorder="1"/>
    <xf numFmtId="3" fontId="15" fillId="0" borderId="36" xfId="1" applyNumberFormat="1" applyFont="1" applyFill="1" applyBorder="1"/>
    <xf numFmtId="3" fontId="15" fillId="0" borderId="47" xfId="1" applyNumberFormat="1" applyFont="1" applyFill="1" applyBorder="1"/>
    <xf numFmtId="3" fontId="15" fillId="0" borderId="48" xfId="1" applyNumberFormat="1" applyFont="1" applyFill="1" applyBorder="1"/>
    <xf numFmtId="3" fontId="15" fillId="0" borderId="49" xfId="1" applyNumberFormat="1" applyFont="1" applyFill="1" applyBorder="1"/>
    <xf numFmtId="3" fontId="15" fillId="0" borderId="9" xfId="1" applyNumberFormat="1" applyFont="1" applyFill="1" applyBorder="1"/>
    <xf numFmtId="3" fontId="15" fillId="0" borderId="37" xfId="1" applyNumberFormat="1" applyFont="1" applyFill="1" applyBorder="1"/>
    <xf numFmtId="9" fontId="15" fillId="0" borderId="42" xfId="2" applyFont="1" applyFill="1" applyBorder="1"/>
    <xf numFmtId="9" fontId="15" fillId="0" borderId="9" xfId="2" applyNumberFormat="1" applyFont="1" applyFill="1" applyBorder="1"/>
    <xf numFmtId="9" fontId="15" fillId="0" borderId="9" xfId="2" applyFont="1" applyFill="1" applyBorder="1"/>
    <xf numFmtId="3" fontId="15" fillId="0" borderId="9" xfId="1" applyNumberFormat="1" applyFont="1" applyFill="1" applyBorder="1" applyAlignment="1"/>
    <xf numFmtId="3" fontId="15" fillId="0" borderId="13" xfId="1" applyNumberFormat="1" applyFont="1" applyFill="1" applyBorder="1"/>
    <xf numFmtId="0" fontId="22" fillId="0" borderId="0" xfId="0" applyNumberFormat="1" applyFont="1" applyBorder="1" applyAlignment="1">
      <alignment horizontal="center"/>
    </xf>
    <xf numFmtId="0" fontId="22" fillId="0" borderId="0" xfId="0" applyNumberFormat="1" applyFont="1" applyBorder="1"/>
    <xf numFmtId="0" fontId="15" fillId="0" borderId="0" xfId="4" applyNumberFormat="1" applyFont="1" applyFill="1" applyBorder="1"/>
    <xf numFmtId="0" fontId="15" fillId="0" borderId="0" xfId="4" applyNumberFormat="1" applyFont="1" applyFill="1" applyBorder="1" applyAlignment="1" applyProtection="1">
      <alignment horizontal="right"/>
      <protection locked="0"/>
    </xf>
    <xf numFmtId="0" fontId="15" fillId="0" borderId="0" xfId="4" applyNumberFormat="1" applyFont="1" applyFill="1" applyBorder="1" applyAlignment="1" applyProtection="1">
      <protection locked="0"/>
    </xf>
    <xf numFmtId="0" fontId="15" fillId="0" borderId="0" xfId="4" applyNumberFormat="1" applyFont="1" applyFill="1" applyBorder="1" applyAlignment="1" applyProtection="1">
      <alignment horizontal="left"/>
      <protection locked="0"/>
    </xf>
    <xf numFmtId="0" fontId="15" fillId="0" borderId="0" xfId="4" applyNumberFormat="1" applyFont="1"/>
    <xf numFmtId="0" fontId="15" fillId="0" borderId="9" xfId="0" applyNumberFormat="1" applyFont="1" applyBorder="1"/>
    <xf numFmtId="3" fontId="15" fillId="0" borderId="43" xfId="0" applyNumberFormat="1" applyFont="1" applyFill="1" applyBorder="1"/>
    <xf numFmtId="3" fontId="15" fillId="0" borderId="0" xfId="0" applyNumberFormat="1" applyFont="1" applyFill="1" applyBorder="1"/>
    <xf numFmtId="0" fontId="15" fillId="8" borderId="0" xfId="4" applyFont="1" applyFill="1" applyBorder="1" applyAlignment="1">
      <alignment horizontal="center"/>
    </xf>
    <xf numFmtId="0" fontId="15" fillId="0" borderId="0" xfId="4" applyBorder="1" applyAlignment="1">
      <alignment horizontal="center"/>
    </xf>
    <xf numFmtId="49" fontId="15" fillId="0" borderId="5" xfId="4" applyNumberFormat="1" applyFont="1" applyFill="1" applyBorder="1" applyAlignment="1" applyProtection="1">
      <alignment horizontal="left"/>
      <protection locked="0"/>
    </xf>
    <xf numFmtId="0" fontId="15" fillId="0" borderId="5" xfId="4" applyFont="1" applyFill="1" applyBorder="1"/>
    <xf numFmtId="0" fontId="15" fillId="0" borderId="5" xfId="4" applyBorder="1"/>
    <xf numFmtId="3" fontId="15" fillId="0" borderId="5" xfId="1" applyNumberFormat="1" applyFont="1" applyBorder="1"/>
    <xf numFmtId="0" fontId="15" fillId="0" borderId="8" xfId="4" applyFont="1" applyFill="1" applyBorder="1"/>
    <xf numFmtId="165" fontId="15" fillId="0" borderId="0" xfId="2" applyNumberFormat="1" applyFont="1" applyBorder="1"/>
    <xf numFmtId="165" fontId="15" fillId="0" borderId="30" xfId="2" applyNumberFormat="1" applyFont="1" applyBorder="1"/>
    <xf numFmtId="0" fontId="15" fillId="0" borderId="45" xfId="4" applyFont="1" applyFill="1" applyBorder="1"/>
    <xf numFmtId="0" fontId="27" fillId="0" borderId="0" xfId="4" applyFont="1" applyFill="1" applyBorder="1"/>
    <xf numFmtId="0" fontId="15" fillId="0" borderId="63" xfId="4" applyBorder="1"/>
    <xf numFmtId="0" fontId="15" fillId="0" borderId="53" xfId="4" applyBorder="1"/>
    <xf numFmtId="0" fontId="15" fillId="0" borderId="45" xfId="4" applyFont="1" applyBorder="1"/>
    <xf numFmtId="0" fontId="15" fillId="0" borderId="58" xfId="4" applyFont="1" applyFill="1" applyBorder="1"/>
    <xf numFmtId="0" fontId="15" fillId="0" borderId="14" xfId="4" applyFont="1" applyFill="1" applyBorder="1" applyProtection="1">
      <protection locked="0"/>
    </xf>
    <xf numFmtId="0" fontId="15" fillId="0" borderId="9" xfId="4" applyBorder="1"/>
    <xf numFmtId="0" fontId="15" fillId="0" borderId="9" xfId="4" applyFont="1" applyFill="1" applyBorder="1" applyAlignment="1">
      <alignment horizontal="center"/>
    </xf>
    <xf numFmtId="0" fontId="15" fillId="0" borderId="64" xfId="4" applyBorder="1"/>
    <xf numFmtId="0" fontId="15" fillId="0" borderId="65" xfId="4" applyBorder="1"/>
    <xf numFmtId="0" fontId="15" fillId="9" borderId="9" xfId="4" applyFont="1" applyFill="1" applyBorder="1"/>
    <xf numFmtId="0" fontId="15" fillId="0" borderId="9" xfId="4" applyFont="1" applyBorder="1"/>
    <xf numFmtId="0" fontId="15" fillId="0" borderId="13" xfId="4" applyBorder="1"/>
    <xf numFmtId="0" fontId="15" fillId="0" borderId="0" xfId="4" applyNumberFormat="1" applyFill="1" applyAlignment="1">
      <alignment horizontal="right"/>
    </xf>
    <xf numFmtId="0" fontId="15" fillId="0" borderId="0" xfId="4" applyNumberFormat="1" applyFont="1" applyFill="1" applyAlignment="1">
      <alignment horizontal="right"/>
    </xf>
    <xf numFmtId="0" fontId="15" fillId="0" borderId="52" xfId="4" applyNumberFormat="1" applyFill="1" applyBorder="1" applyAlignment="1">
      <alignment horizontal="right"/>
    </xf>
    <xf numFmtId="0" fontId="15" fillId="0" borderId="52" xfId="4" applyNumberFormat="1" applyFill="1" applyBorder="1" applyAlignment="1" applyProtection="1">
      <alignment horizontal="right"/>
      <protection locked="0"/>
    </xf>
    <xf numFmtId="0" fontId="15" fillId="0" borderId="50" xfId="4" applyNumberFormat="1" applyFill="1" applyBorder="1" applyAlignment="1" applyProtection="1">
      <alignment horizontal="right"/>
      <protection locked="0"/>
    </xf>
    <xf numFmtId="0" fontId="15" fillId="9" borderId="0" xfId="4" applyNumberFormat="1" applyFont="1" applyFill="1" applyBorder="1" applyAlignment="1" applyProtection="1">
      <alignment horizontal="right"/>
      <protection locked="0"/>
    </xf>
    <xf numFmtId="0" fontId="15" fillId="0" borderId="50" xfId="4" applyNumberFormat="1" applyFont="1" applyBorder="1" applyAlignment="1">
      <alignment horizontal="right"/>
    </xf>
    <xf numFmtId="0" fontId="15" fillId="0" borderId="54" xfId="4" applyNumberFormat="1" applyFont="1" applyFill="1" applyBorder="1" applyAlignment="1" applyProtection="1">
      <alignment horizontal="right"/>
      <protection locked="0"/>
    </xf>
    <xf numFmtId="0" fontId="15" fillId="0" borderId="54" xfId="4" applyNumberFormat="1" applyFont="1" applyFill="1" applyBorder="1" applyAlignment="1">
      <alignment horizontal="right"/>
    </xf>
    <xf numFmtId="0" fontId="15" fillId="0" borderId="50" xfId="4" applyNumberFormat="1" applyFont="1" applyBorder="1" applyAlignment="1" applyProtection="1">
      <alignment horizontal="right"/>
      <protection locked="0"/>
    </xf>
    <xf numFmtId="0" fontId="15" fillId="0" borderId="50" xfId="4" applyNumberFormat="1" applyFont="1" applyFill="1" applyBorder="1" applyAlignment="1">
      <alignment horizontal="right"/>
    </xf>
    <xf numFmtId="0" fontId="15" fillId="0" borderId="43" xfId="4" applyNumberFormat="1" applyFont="1" applyFill="1" applyBorder="1" applyAlignment="1" applyProtection="1">
      <alignment horizontal="right"/>
      <protection locked="0"/>
    </xf>
    <xf numFmtId="0" fontId="15" fillId="0" borderId="57" xfId="4" applyNumberFormat="1" applyFont="1" applyFill="1" applyBorder="1" applyAlignment="1" applyProtection="1">
      <alignment horizontal="right"/>
      <protection locked="0"/>
    </xf>
    <xf numFmtId="0" fontId="15" fillId="0" borderId="56" xfId="4" applyNumberFormat="1" applyFont="1" applyFill="1" applyBorder="1" applyAlignment="1" applyProtection="1">
      <alignment horizontal="right"/>
      <protection locked="0"/>
    </xf>
    <xf numFmtId="0" fontId="15" fillId="0" borderId="59" xfId="4" applyNumberFormat="1" applyFont="1" applyFill="1" applyBorder="1" applyAlignment="1" applyProtection="1">
      <alignment horizontal="right"/>
      <protection locked="0"/>
    </xf>
    <xf numFmtId="0" fontId="15" fillId="0" borderId="55" xfId="4" applyNumberFormat="1" applyFont="1" applyFill="1" applyBorder="1" applyAlignment="1" applyProtection="1">
      <alignment horizontal="right"/>
      <protection locked="0"/>
    </xf>
    <xf numFmtId="0" fontId="8" fillId="0" borderId="1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15" fillId="0" borderId="0" xfId="4" applyNumberFormat="1" applyFill="1" applyAlignment="1" applyProtection="1">
      <alignment horizontal="right"/>
      <protection locked="0"/>
    </xf>
    <xf numFmtId="165" fontId="15" fillId="0" borderId="0" xfId="2" applyNumberFormat="1" applyFont="1" applyFill="1" applyBorder="1"/>
    <xf numFmtId="0" fontId="15" fillId="0" borderId="2" xfId="4" applyFont="1" applyFill="1" applyBorder="1" applyAlignment="1">
      <alignment horizontal="center"/>
    </xf>
    <xf numFmtId="0" fontId="15" fillId="0" borderId="2" xfId="4" applyFont="1" applyFill="1" applyBorder="1" applyAlignment="1">
      <alignment horizontal="left"/>
    </xf>
    <xf numFmtId="0" fontId="15" fillId="0" borderId="2" xfId="4" applyFont="1" applyFill="1" applyBorder="1"/>
    <xf numFmtId="0" fontId="15" fillId="0" borderId="2" xfId="4" applyNumberFormat="1" applyFont="1" applyFill="1" applyBorder="1" applyAlignment="1" applyProtection="1">
      <alignment horizontal="right"/>
      <protection locked="0"/>
    </xf>
    <xf numFmtId="3" fontId="15" fillId="0" borderId="2" xfId="4" applyNumberFormat="1" applyFont="1" applyFill="1" applyBorder="1" applyAlignment="1" applyProtection="1">
      <protection locked="0"/>
    </xf>
    <xf numFmtId="49" fontId="15" fillId="0" borderId="2" xfId="4" applyNumberFormat="1" applyFont="1" applyFill="1" applyBorder="1" applyAlignment="1" applyProtection="1">
      <alignment horizontal="left"/>
      <protection locked="0"/>
    </xf>
    <xf numFmtId="0" fontId="15" fillId="0" borderId="2" xfId="4" applyFont="1" applyBorder="1"/>
    <xf numFmtId="1" fontId="15" fillId="0" borderId="12" xfId="0" applyNumberFormat="1" applyFont="1" applyFill="1" applyBorder="1"/>
    <xf numFmtId="166" fontId="15" fillId="0" borderId="2" xfId="5" applyNumberFormat="1" applyFont="1" applyFill="1" applyBorder="1" applyProtection="1">
      <protection locked="0"/>
    </xf>
    <xf numFmtId="0" fontId="15" fillId="0" borderId="2" xfId="4" applyBorder="1"/>
    <xf numFmtId="165" fontId="15" fillId="0" borderId="9" xfId="2" applyNumberFormat="1" applyFont="1" applyFill="1" applyBorder="1"/>
    <xf numFmtId="165" fontId="15" fillId="0" borderId="0" xfId="2" applyNumberFormat="1" applyFont="1" applyFill="1" applyBorder="1" applyProtection="1">
      <protection locked="0"/>
    </xf>
    <xf numFmtId="0" fontId="18" fillId="0" borderId="6" xfId="4" applyFont="1" applyFill="1" applyBorder="1"/>
    <xf numFmtId="0" fontId="18" fillId="0" borderId="7" xfId="4" applyNumberFormat="1" applyFont="1" applyFill="1" applyBorder="1" applyAlignment="1" applyProtection="1">
      <alignment horizontal="right"/>
      <protection locked="0"/>
    </xf>
    <xf numFmtId="3" fontId="18" fillId="0" borderId="7" xfId="4" applyNumberFormat="1" applyFont="1" applyFill="1" applyBorder="1" applyAlignment="1" applyProtection="1">
      <protection locked="0"/>
    </xf>
    <xf numFmtId="49" fontId="18" fillId="0" borderId="7" xfId="4" applyNumberFormat="1" applyFont="1" applyFill="1" applyBorder="1" applyAlignment="1" applyProtection="1">
      <alignment horizontal="left"/>
      <protection locked="0"/>
    </xf>
    <xf numFmtId="0" fontId="18" fillId="0" borderId="7" xfId="4" applyFont="1" applyFill="1" applyBorder="1"/>
    <xf numFmtId="0" fontId="18" fillId="0" borderId="7" xfId="4" applyFont="1" applyBorder="1"/>
    <xf numFmtId="0" fontId="18" fillId="0" borderId="66" xfId="4" applyFont="1" applyBorder="1"/>
    <xf numFmtId="0" fontId="18" fillId="0" borderId="29" xfId="4" applyFont="1" applyBorder="1"/>
    <xf numFmtId="3" fontId="15" fillId="0" borderId="0" xfId="1" applyNumberFormat="1" applyFont="1"/>
    <xf numFmtId="166" fontId="0" fillId="0" borderId="50" xfId="5" quotePrefix="1" applyNumberFormat="1" applyFont="1" applyFill="1" applyBorder="1" applyProtection="1">
      <protection locked="0"/>
    </xf>
    <xf numFmtId="166" fontId="15" fillId="0" borderId="50" xfId="5" quotePrefix="1" applyNumberFormat="1" applyFont="1" applyFill="1" applyBorder="1" applyProtection="1">
      <protection locked="0"/>
    </xf>
    <xf numFmtId="0" fontId="15" fillId="0" borderId="0" xfId="4" applyAlignment="1">
      <alignment horizontal="center"/>
    </xf>
    <xf numFmtId="0" fontId="15" fillId="0" borderId="0" xfId="4" applyFont="1" applyAlignment="1">
      <alignment horizontal="center"/>
    </xf>
    <xf numFmtId="0" fontId="15" fillId="0" borderId="0" xfId="4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9" fontId="15" fillId="0" borderId="0" xfId="4" applyNumberFormat="1" applyFont="1" applyBorder="1" applyAlignment="1" applyProtection="1">
      <alignment horizontal="left"/>
      <protection locked="0"/>
    </xf>
    <xf numFmtId="0" fontId="15" fillId="0" borderId="0" xfId="4" applyNumberFormat="1" applyFont="1" applyBorder="1" applyAlignment="1" applyProtection="1">
      <alignment horizontal="right"/>
      <protection locked="0"/>
    </xf>
    <xf numFmtId="0" fontId="15" fillId="0" borderId="0" xfId="4" applyNumberFormat="1" applyFont="1" applyFill="1" applyBorder="1" applyAlignment="1">
      <alignment horizontal="right"/>
    </xf>
    <xf numFmtId="3" fontId="15" fillId="0" borderId="0" xfId="1" applyNumberFormat="1" applyFont="1" applyBorder="1"/>
    <xf numFmtId="0" fontId="18" fillId="0" borderId="13" xfId="0" applyFont="1" applyFill="1" applyBorder="1" applyAlignment="1">
      <alignment horizontal="left"/>
    </xf>
    <xf numFmtId="0" fontId="15" fillId="0" borderId="4" xfId="0" applyFont="1" applyFill="1" applyBorder="1"/>
    <xf numFmtId="3" fontId="15" fillId="0" borderId="4" xfId="1" applyNumberFormat="1" applyFont="1" applyFill="1" applyBorder="1"/>
    <xf numFmtId="0" fontId="18" fillId="0" borderId="0" xfId="4" applyFont="1" applyFill="1"/>
    <xf numFmtId="0" fontId="15" fillId="0" borderId="0" xfId="0" applyFont="1" applyBorder="1"/>
    <xf numFmtId="0" fontId="15" fillId="0" borderId="0" xfId="0" applyNumberFormat="1" applyFont="1" applyBorder="1"/>
    <xf numFmtId="0" fontId="15" fillId="0" borderId="0" xfId="0" applyFont="1" applyFill="1" applyBorder="1"/>
    <xf numFmtId="0" fontId="5" fillId="0" borderId="20" xfId="0" applyFont="1" applyFill="1" applyBorder="1"/>
    <xf numFmtId="14" fontId="15" fillId="0" borderId="52" xfId="4" applyNumberFormat="1" applyFill="1" applyBorder="1"/>
    <xf numFmtId="0" fontId="15" fillId="0" borderId="0" xfId="0" applyFont="1" applyFill="1" applyBorder="1" applyAlignment="1">
      <alignment horizontal="center"/>
    </xf>
    <xf numFmtId="49" fontId="15" fillId="0" borderId="43" xfId="0" applyNumberFormat="1" applyFont="1" applyFill="1" applyBorder="1" applyAlignment="1" applyProtection="1">
      <alignment horizontal="left"/>
      <protection locked="0"/>
    </xf>
    <xf numFmtId="166" fontId="15" fillId="0" borderId="43" xfId="1" applyNumberFormat="1" applyFont="1" applyFill="1" applyBorder="1" applyAlignment="1">
      <alignment horizontal="center"/>
    </xf>
    <xf numFmtId="0" fontId="15" fillId="0" borderId="43" xfId="0" applyFont="1" applyFill="1" applyBorder="1"/>
    <xf numFmtId="0" fontId="15" fillId="0" borderId="45" xfId="0" applyFont="1" applyFill="1" applyBorder="1"/>
    <xf numFmtId="166" fontId="15" fillId="0" borderId="43" xfId="1" applyNumberFormat="1" applyFont="1" applyFill="1" applyBorder="1"/>
    <xf numFmtId="3" fontId="15" fillId="0" borderId="43" xfId="1" applyNumberFormat="1" applyFont="1" applyFill="1" applyBorder="1" applyAlignment="1">
      <alignment horizontal="right"/>
    </xf>
    <xf numFmtId="3" fontId="15" fillId="0" borderId="45" xfId="0" applyNumberFormat="1" applyFont="1" applyFill="1" applyBorder="1"/>
    <xf numFmtId="49" fontId="15" fillId="0" borderId="43" xfId="0" applyNumberFormat="1" applyFont="1" applyFill="1" applyBorder="1" applyAlignment="1">
      <alignment horizontal="center"/>
    </xf>
    <xf numFmtId="1" fontId="15" fillId="0" borderId="43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/>
    </xf>
    <xf numFmtId="3" fontId="15" fillId="0" borderId="5" xfId="0" applyNumberFormat="1" applyFont="1" applyFill="1" applyBorder="1"/>
    <xf numFmtId="0" fontId="18" fillId="0" borderId="5" xfId="0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right"/>
    </xf>
    <xf numFmtId="3" fontId="15" fillId="0" borderId="41" xfId="0" applyNumberFormat="1" applyFont="1" applyFill="1" applyBorder="1"/>
    <xf numFmtId="3" fontId="28" fillId="0" borderId="0" xfId="0" applyNumberFormat="1" applyFont="1" applyFill="1" applyBorder="1"/>
    <xf numFmtId="1" fontId="22" fillId="0" borderId="0" xfId="0" applyNumberFormat="1" applyFont="1" applyFill="1" applyBorder="1"/>
    <xf numFmtId="0" fontId="15" fillId="11" borderId="50" xfId="4" applyFont="1" applyFill="1" applyBorder="1"/>
    <xf numFmtId="166" fontId="15" fillId="14" borderId="50" xfId="5" applyNumberFormat="1" applyFont="1" applyFill="1" applyBorder="1" applyProtection="1">
      <protection locked="0"/>
    </xf>
    <xf numFmtId="0" fontId="15" fillId="0" borderId="9" xfId="4" applyFont="1" applyFill="1" applyBorder="1"/>
    <xf numFmtId="0" fontId="22" fillId="0" borderId="0" xfId="0" applyNumberFormat="1" applyFont="1" applyFill="1" applyBorder="1" applyAlignment="1">
      <alignment horizontal="center"/>
    </xf>
    <xf numFmtId="0" fontId="22" fillId="0" borderId="9" xfId="0" applyFont="1" applyFill="1" applyBorder="1"/>
    <xf numFmtId="3" fontId="22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0" fontId="15" fillId="0" borderId="0" xfId="0" applyNumberFormat="1" applyFont="1" applyFill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15" fillId="0" borderId="2" xfId="0" applyNumberFormat="1" applyFont="1" applyFill="1" applyBorder="1" applyAlignment="1">
      <alignment horizontal="center"/>
    </xf>
    <xf numFmtId="0" fontId="23" fillId="0" borderId="2" xfId="0" applyFont="1" applyFill="1" applyBorder="1"/>
    <xf numFmtId="0" fontId="22" fillId="0" borderId="2" xfId="0" applyFont="1" applyFill="1" applyBorder="1"/>
    <xf numFmtId="3" fontId="22" fillId="0" borderId="2" xfId="0" applyNumberFormat="1" applyFont="1" applyFill="1" applyBorder="1"/>
    <xf numFmtId="3" fontId="22" fillId="0" borderId="12" xfId="0" applyNumberFormat="1" applyFont="1" applyFill="1" applyBorder="1"/>
    <xf numFmtId="3" fontId="22" fillId="0" borderId="9" xfId="0" applyNumberFormat="1" applyFont="1" applyFill="1" applyBorder="1"/>
    <xf numFmtId="0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/>
    <xf numFmtId="0" fontId="29" fillId="0" borderId="0" xfId="0" applyFont="1" applyFill="1" applyBorder="1"/>
    <xf numFmtId="3" fontId="15" fillId="0" borderId="0" xfId="0" applyNumberFormat="1" applyFont="1" applyFill="1" applyBorder="1" applyAlignment="1">
      <alignment horizontal="center"/>
    </xf>
    <xf numFmtId="3" fontId="15" fillId="0" borderId="0" xfId="1" applyNumberFormat="1" applyFont="1" applyFill="1" applyBorder="1"/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3" fontId="15" fillId="0" borderId="2" xfId="1" applyNumberFormat="1" applyFont="1" applyFill="1" applyBorder="1"/>
    <xf numFmtId="165" fontId="15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/>
    <xf numFmtId="0" fontId="15" fillId="0" borderId="14" xfId="0" applyFont="1" applyFill="1" applyBorder="1" applyAlignment="1">
      <alignment horizontal="left"/>
    </xf>
    <xf numFmtId="0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9" fontId="15" fillId="0" borderId="15" xfId="2" applyFont="1" applyFill="1" applyBorder="1"/>
    <xf numFmtId="9" fontId="15" fillId="0" borderId="61" xfId="2" applyFont="1" applyFill="1" applyBorder="1"/>
    <xf numFmtId="0" fontId="15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165" fontId="15" fillId="0" borderId="0" xfId="2" applyNumberFormat="1" applyFont="1" applyFill="1" applyBorder="1" applyAlignment="1">
      <alignment horizontal="right"/>
    </xf>
    <xf numFmtId="165" fontId="15" fillId="0" borderId="0" xfId="2" applyNumberFormat="1" applyFont="1" applyFill="1" applyBorder="1" applyAlignment="1"/>
    <xf numFmtId="3" fontId="15" fillId="0" borderId="0" xfId="1" applyNumberFormat="1" applyFont="1" applyFill="1" applyBorder="1" applyAlignment="1"/>
    <xf numFmtId="165" fontId="15" fillId="0" borderId="0" xfId="2" applyNumberFormat="1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3" fontId="15" fillId="0" borderId="5" xfId="1" applyNumberFormat="1" applyFont="1" applyFill="1" applyBorder="1"/>
    <xf numFmtId="165" fontId="15" fillId="0" borderId="5" xfId="2" applyNumberFormat="1" applyFont="1" applyFill="1" applyBorder="1"/>
    <xf numFmtId="165" fontId="15" fillId="0" borderId="5" xfId="2" applyNumberFormat="1" applyFont="1" applyFill="1" applyBorder="1" applyAlignment="1">
      <alignment horizontal="left"/>
    </xf>
    <xf numFmtId="165" fontId="15" fillId="0" borderId="5" xfId="2" applyNumberFormat="1" applyFont="1" applyFill="1" applyBorder="1" applyAlignment="1"/>
    <xf numFmtId="3" fontId="15" fillId="0" borderId="55" xfId="4" applyNumberFormat="1" applyFont="1" applyFill="1" applyBorder="1" applyAlignment="1" applyProtection="1">
      <protection locked="0"/>
    </xf>
    <xf numFmtId="49" fontId="15" fillId="0" borderId="55" xfId="4" applyNumberFormat="1" applyFont="1" applyFill="1" applyBorder="1" applyAlignment="1" applyProtection="1">
      <alignment horizontal="left"/>
      <protection locked="0"/>
    </xf>
    <xf numFmtId="0" fontId="15" fillId="9" borderId="0" xfId="4" applyFill="1" applyAlignment="1">
      <alignment horizontal="center"/>
    </xf>
    <xf numFmtId="0" fontId="15" fillId="11" borderId="0" xfId="4" applyFill="1" applyAlignment="1">
      <alignment horizontal="center"/>
    </xf>
    <xf numFmtId="0" fontId="15" fillId="0" borderId="2" xfId="4" applyBorder="1" applyAlignment="1">
      <alignment horizontal="center"/>
    </xf>
    <xf numFmtId="165" fontId="15" fillId="0" borderId="5" xfId="2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63" xfId="4" applyBorder="1" applyAlignment="1">
      <alignment horizontal="center"/>
    </xf>
    <xf numFmtId="0" fontId="15" fillId="0" borderId="64" xfId="4" applyBorder="1" applyAlignment="1">
      <alignment horizontal="center"/>
    </xf>
    <xf numFmtId="3" fontId="15" fillId="0" borderId="52" xfId="1" applyNumberFormat="1" applyFont="1" applyBorder="1"/>
    <xf numFmtId="0" fontId="5" fillId="0" borderId="0" xfId="0" applyFont="1" applyAlignment="1">
      <alignment horizontal="left"/>
    </xf>
    <xf numFmtId="0" fontId="9" fillId="0" borderId="0" xfId="0" applyFont="1" applyFill="1" applyAlignment="1">
      <alignment wrapText="1"/>
    </xf>
    <xf numFmtId="3" fontId="0" fillId="0" borderId="0" xfId="1" applyNumberFormat="1" applyFont="1" applyFill="1"/>
    <xf numFmtId="0" fontId="15" fillId="11" borderId="53" xfId="4" applyFont="1" applyFill="1" applyBorder="1"/>
    <xf numFmtId="0" fontId="15" fillId="11" borderId="45" xfId="4" applyFont="1" applyFill="1" applyBorder="1"/>
    <xf numFmtId="0" fontId="15" fillId="0" borderId="0" xfId="4" applyFill="1" applyAlignment="1" applyProtection="1"/>
    <xf numFmtId="0" fontId="15" fillId="0" borderId="0" xfId="4" applyFont="1" applyFill="1" applyAlignment="1" applyProtection="1"/>
    <xf numFmtId="0" fontId="18" fillId="9" borderId="51" xfId="4" applyFont="1" applyFill="1" applyBorder="1" applyAlignment="1"/>
    <xf numFmtId="0" fontId="15" fillId="0" borderId="52" xfId="4" applyFill="1" applyBorder="1" applyAlignment="1"/>
    <xf numFmtId="0" fontId="15" fillId="0" borderId="52" xfId="4" applyFill="1" applyBorder="1" applyAlignment="1" applyProtection="1">
      <protection locked="0"/>
    </xf>
    <xf numFmtId="0" fontId="15" fillId="0" borderId="50" xfId="4" applyFill="1" applyBorder="1" applyAlignment="1"/>
    <xf numFmtId="0" fontId="15" fillId="0" borderId="0" xfId="4" applyFont="1" applyFill="1" applyBorder="1" applyAlignment="1"/>
    <xf numFmtId="0" fontId="15" fillId="0" borderId="53" xfId="4" applyFont="1" applyFill="1" applyBorder="1" applyAlignment="1"/>
    <xf numFmtId="0" fontId="15" fillId="0" borderId="50" xfId="4" applyFont="1" applyFill="1" applyBorder="1" applyAlignment="1"/>
    <xf numFmtId="0" fontId="15" fillId="0" borderId="55" xfId="4" applyFont="1" applyFill="1" applyBorder="1" applyAlignment="1"/>
    <xf numFmtId="0" fontId="15" fillId="0" borderId="43" xfId="4" applyFont="1" applyFill="1" applyBorder="1" applyAlignment="1"/>
    <xf numFmtId="0" fontId="18" fillId="0" borderId="0" xfId="4" applyFont="1" applyFill="1" applyBorder="1" applyAlignment="1"/>
    <xf numFmtId="0" fontId="15" fillId="0" borderId="0" xfId="4" applyFill="1" applyAlignment="1" applyProtection="1">
      <protection locked="0"/>
    </xf>
    <xf numFmtId="0" fontId="15" fillId="0" borderId="56" xfId="4" applyFont="1" applyFill="1" applyBorder="1" applyAlignment="1"/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15" fillId="0" borderId="2" xfId="4" applyFont="1" applyFill="1" applyBorder="1" applyAlignment="1"/>
    <xf numFmtId="0" fontId="15" fillId="0" borderId="0" xfId="4" applyFont="1" applyFill="1" applyAlignment="1" applyProtection="1">
      <protection locked="0"/>
    </xf>
    <xf numFmtId="0" fontId="15" fillId="0" borderId="3" xfId="0" applyFont="1" applyFill="1" applyBorder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5" fillId="0" borderId="5" xfId="0" applyFont="1" applyFill="1" applyBorder="1" applyAlignment="1"/>
    <xf numFmtId="0" fontId="22" fillId="0" borderId="3" xfId="0" applyFont="1" applyFill="1" applyBorder="1" applyAlignment="1"/>
    <xf numFmtId="0" fontId="18" fillId="0" borderId="2" xfId="0" applyFont="1" applyFill="1" applyBorder="1" applyAlignment="1"/>
    <xf numFmtId="0" fontId="18" fillId="0" borderId="0" xfId="0" applyFont="1" applyFill="1" applyAlignment="1"/>
    <xf numFmtId="0" fontId="15" fillId="0" borderId="4" xfId="0" applyFont="1" applyFill="1" applyBorder="1" applyAlignment="1"/>
    <xf numFmtId="9" fontId="15" fillId="0" borderId="0" xfId="2" applyFont="1"/>
    <xf numFmtId="9" fontId="15" fillId="0" borderId="16" xfId="2" applyFont="1" applyFill="1" applyBorder="1"/>
    <xf numFmtId="165" fontId="31" fillId="0" borderId="0" xfId="2" applyNumberFormat="1" applyFont="1" applyFill="1" applyBorder="1"/>
    <xf numFmtId="0" fontId="14" fillId="0" borderId="0" xfId="0" applyFont="1" applyAlignment="1">
      <alignment horizontal="center"/>
    </xf>
    <xf numFmtId="0" fontId="8" fillId="13" borderId="0" xfId="0" applyFont="1" applyFill="1"/>
    <xf numFmtId="0" fontId="8" fillId="13" borderId="22" xfId="0" applyFont="1" applyFill="1" applyBorder="1"/>
    <xf numFmtId="0" fontId="5" fillId="13" borderId="0" xfId="0" applyFont="1" applyFill="1"/>
    <xf numFmtId="0" fontId="0" fillId="13" borderId="0" xfId="0" applyFill="1"/>
    <xf numFmtId="166" fontId="15" fillId="0" borderId="0" xfId="4" applyNumberFormat="1"/>
    <xf numFmtId="0" fontId="4" fillId="0" borderId="0" xfId="0" applyFont="1" applyFill="1" applyBorder="1"/>
    <xf numFmtId="3" fontId="15" fillId="0" borderId="12" xfId="1" applyNumberFormat="1" applyFont="1" applyFill="1" applyBorder="1"/>
    <xf numFmtId="9" fontId="15" fillId="0" borderId="4" xfId="2" applyFont="1" applyFill="1" applyBorder="1" applyAlignment="1">
      <alignment horizontal="center"/>
    </xf>
    <xf numFmtId="0" fontId="27" fillId="0" borderId="0" xfId="7" applyFont="1"/>
    <xf numFmtId="0" fontId="24" fillId="0" borderId="0" xfId="9" applyFont="1" applyAlignment="1">
      <alignment wrapText="1"/>
    </xf>
    <xf numFmtId="0" fontId="24" fillId="0" borderId="0" xfId="9" applyFont="1"/>
    <xf numFmtId="0" fontId="15" fillId="0" borderId="0" xfId="9" applyFont="1"/>
    <xf numFmtId="0" fontId="19" fillId="0" borderId="0" xfId="9" applyFont="1"/>
    <xf numFmtId="0" fontId="15" fillId="0" borderId="53" xfId="4" applyFont="1" applyBorder="1" applyAlignment="1">
      <alignment horizontal="center"/>
    </xf>
    <xf numFmtId="0" fontId="15" fillId="0" borderId="60" xfId="4" applyFont="1" applyFill="1" applyBorder="1"/>
    <xf numFmtId="0" fontId="15" fillId="0" borderId="62" xfId="4" applyFont="1" applyFill="1" applyBorder="1"/>
    <xf numFmtId="49" fontId="15" fillId="0" borderId="67" xfId="4" applyNumberFormat="1" applyFont="1" applyFill="1" applyBorder="1" applyAlignment="1" applyProtection="1">
      <alignment horizontal="left"/>
      <protection locked="0"/>
    </xf>
    <xf numFmtId="49" fontId="15" fillId="0" borderId="68" xfId="4" applyNumberFormat="1" applyFont="1" applyBorder="1" applyAlignment="1" applyProtection="1">
      <alignment horizontal="left"/>
      <protection locked="0"/>
    </xf>
    <xf numFmtId="0" fontId="15" fillId="0" borderId="68" xfId="4" applyFont="1" applyBorder="1"/>
    <xf numFmtId="0" fontId="15" fillId="0" borderId="43" xfId="4" applyFont="1" applyFill="1" applyBorder="1" applyProtection="1">
      <protection locked="0"/>
    </xf>
    <xf numFmtId="0" fontId="15" fillId="0" borderId="69" xfId="4" applyFont="1" applyBorder="1"/>
    <xf numFmtId="0" fontId="15" fillId="0" borderId="68" xfId="4" applyFont="1" applyFill="1" applyBorder="1"/>
    <xf numFmtId="0" fontId="15" fillId="0" borderId="67" xfId="4" applyNumberFormat="1" applyFont="1" applyFill="1" applyBorder="1" applyAlignment="1" applyProtection="1">
      <alignment horizontal="right"/>
      <protection locked="0"/>
    </xf>
    <xf numFmtId="0" fontId="15" fillId="0" borderId="5" xfId="4" applyFill="1" applyBorder="1"/>
    <xf numFmtId="3" fontId="15" fillId="0" borderId="0" xfId="1" applyNumberFormat="1" applyFont="1"/>
    <xf numFmtId="0" fontId="5" fillId="6" borderId="22" xfId="0" applyFont="1" applyFill="1" applyBorder="1"/>
    <xf numFmtId="3" fontId="8" fillId="0" borderId="22" xfId="0" applyNumberFormat="1" applyFont="1" applyBorder="1"/>
    <xf numFmtId="0" fontId="5" fillId="0" borderId="3" xfId="0" applyFont="1" applyBorder="1"/>
    <xf numFmtId="0" fontId="8" fillId="0" borderId="3" xfId="0" applyFont="1" applyBorder="1"/>
    <xf numFmtId="3" fontId="5" fillId="0" borderId="3" xfId="1" applyNumberFormat="1" applyFont="1" applyBorder="1"/>
    <xf numFmtId="3" fontId="8" fillId="0" borderId="3" xfId="1" applyNumberFormat="1" applyFont="1" applyBorder="1"/>
    <xf numFmtId="0" fontId="15" fillId="0" borderId="68" xfId="4" applyFont="1" applyFill="1" applyBorder="1" applyProtection="1">
      <protection locked="0"/>
    </xf>
    <xf numFmtId="3" fontId="15" fillId="0" borderId="0" xfId="9" applyNumberFormat="1" applyFont="1"/>
    <xf numFmtId="3" fontId="8" fillId="0" borderId="0" xfId="0" applyNumberFormat="1" applyFont="1" applyFill="1"/>
    <xf numFmtId="3" fontId="6" fillId="0" borderId="0" xfId="0" applyNumberFormat="1" applyFont="1" applyFill="1"/>
    <xf numFmtId="3" fontId="14" fillId="0" borderId="0" xfId="1" applyNumberFormat="1" applyFont="1"/>
    <xf numFmtId="0" fontId="8" fillId="0" borderId="22" xfId="0" applyFont="1" applyFill="1" applyBorder="1"/>
    <xf numFmtId="0" fontId="5" fillId="0" borderId="61" xfId="0" applyFont="1" applyBorder="1"/>
    <xf numFmtId="3" fontId="5" fillId="0" borderId="61" xfId="1" applyNumberFormat="1" applyFont="1" applyBorder="1"/>
    <xf numFmtId="0" fontId="8" fillId="0" borderId="68" xfId="0" applyFont="1" applyFill="1" applyBorder="1"/>
    <xf numFmtId="0" fontId="14" fillId="0" borderId="22" xfId="0" applyFont="1" applyFill="1" applyBorder="1"/>
    <xf numFmtId="3" fontId="5" fillId="0" borderId="0" xfId="0" applyNumberFormat="1" applyFont="1"/>
    <xf numFmtId="166" fontId="15" fillId="0" borderId="0" xfId="4" applyNumberFormat="1" applyFill="1"/>
    <xf numFmtId="0" fontId="15" fillId="0" borderId="59" xfId="4" applyFont="1" applyFill="1" applyBorder="1" applyAlignment="1"/>
    <xf numFmtId="0" fontId="15" fillId="0" borderId="0" xfId="4" applyFill="1" applyBorder="1"/>
    <xf numFmtId="0" fontId="5" fillId="0" borderId="0" xfId="0" applyFont="1" applyAlignment="1">
      <alignment horizontal="right" vertical="center"/>
    </xf>
    <xf numFmtId="0" fontId="19" fillId="0" borderId="0" xfId="9" applyFont="1" applyAlignment="1">
      <alignment wrapText="1"/>
    </xf>
    <xf numFmtId="0" fontId="0" fillId="3" borderId="0" xfId="0" applyFill="1" applyAlignment="1">
      <alignment wrapText="1"/>
    </xf>
    <xf numFmtId="0" fontId="4" fillId="0" borderId="13" xfId="0" applyFont="1" applyBorder="1"/>
    <xf numFmtId="0" fontId="4" fillId="0" borderId="5" xfId="0" applyFont="1" applyBorder="1"/>
    <xf numFmtId="0" fontId="4" fillId="0" borderId="70" xfId="0" applyFont="1" applyBorder="1"/>
    <xf numFmtId="0" fontId="4" fillId="0" borderId="5" xfId="0" applyFont="1" applyFill="1" applyBorder="1"/>
    <xf numFmtId="3" fontId="4" fillId="0" borderId="41" xfId="0" applyNumberFormat="1" applyFont="1" applyBorder="1"/>
    <xf numFmtId="0" fontId="32" fillId="4" borderId="0" xfId="0" applyFont="1" applyFill="1"/>
    <xf numFmtId="0" fontId="32" fillId="4" borderId="0" xfId="0" applyFont="1" applyFill="1" applyAlignment="1">
      <alignment horizontal="left"/>
    </xf>
    <xf numFmtId="165" fontId="31" fillId="0" borderId="9" xfId="2" applyNumberFormat="1" applyFont="1" applyFill="1" applyBorder="1"/>
    <xf numFmtId="0" fontId="15" fillId="0" borderId="0" xfId="4" applyFont="1" applyFill="1" applyAlignment="1">
      <alignment horizontal="left" vertical="center"/>
    </xf>
    <xf numFmtId="0" fontId="15" fillId="0" borderId="53" xfId="0" applyFont="1" applyFill="1" applyBorder="1"/>
    <xf numFmtId="0" fontId="15" fillId="0" borderId="50" xfId="0" applyFont="1" applyFill="1" applyBorder="1"/>
    <xf numFmtId="9" fontId="15" fillId="0" borderId="4" xfId="2" applyFont="1" applyFill="1" applyBorder="1"/>
    <xf numFmtId="49" fontId="15" fillId="0" borderId="56" xfId="4" applyNumberFormat="1" applyFont="1" applyFill="1" applyBorder="1" applyAlignment="1" applyProtection="1">
      <alignment horizontal="left"/>
      <protection locked="0"/>
    </xf>
    <xf numFmtId="49" fontId="15" fillId="0" borderId="56" xfId="4" applyNumberFormat="1" applyFont="1" applyBorder="1" applyAlignment="1" applyProtection="1">
      <alignment horizontal="left"/>
      <protection locked="0"/>
    </xf>
    <xf numFmtId="0" fontId="15" fillId="0" borderId="56" xfId="4" applyFont="1" applyBorder="1"/>
    <xf numFmtId="0" fontId="15" fillId="0" borderId="58" xfId="4" applyFont="1" applyBorder="1"/>
    <xf numFmtId="1" fontId="15" fillId="0" borderId="37" xfId="0" applyNumberFormat="1" applyFont="1" applyFill="1" applyBorder="1"/>
    <xf numFmtId="166" fontId="15" fillId="0" borderId="23" xfId="5" applyNumberFormat="1" applyFont="1" applyFill="1" applyBorder="1" applyProtection="1">
      <protection locked="0"/>
    </xf>
    <xf numFmtId="0" fontId="15" fillId="0" borderId="50" xfId="4" applyFont="1" applyFill="1" applyBorder="1" applyAlignment="1">
      <alignment wrapText="1"/>
    </xf>
    <xf numFmtId="166" fontId="15" fillId="0" borderId="56" xfId="5" applyNumberFormat="1" applyFont="1" applyFill="1" applyBorder="1" applyProtection="1">
      <protection locked="0"/>
    </xf>
    <xf numFmtId="3" fontId="5" fillId="0" borderId="3" xfId="0" applyNumberFormat="1" applyFont="1" applyBorder="1"/>
    <xf numFmtId="3" fontId="5" fillId="0" borderId="0" xfId="0" applyNumberFormat="1" applyFont="1" applyFill="1" applyBorder="1"/>
    <xf numFmtId="1" fontId="15" fillId="0" borderId="4" xfId="0" applyNumberFormat="1" applyFont="1" applyFill="1" applyBorder="1"/>
    <xf numFmtId="0" fontId="0" fillId="0" borderId="50" xfId="0" applyFill="1" applyBorder="1" applyProtection="1">
      <protection locked="0"/>
    </xf>
    <xf numFmtId="3" fontId="8" fillId="0" borderId="3" xfId="0" applyNumberFormat="1" applyFont="1" applyBorder="1"/>
    <xf numFmtId="0" fontId="15" fillId="0" borderId="10" xfId="4" applyFont="1" applyFill="1" applyBorder="1"/>
    <xf numFmtId="0" fontId="15" fillId="0" borderId="11" xfId="4" applyNumberFormat="1" applyFont="1" applyFill="1" applyBorder="1" applyAlignment="1" applyProtection="1">
      <alignment horizontal="right"/>
      <protection locked="0"/>
    </xf>
    <xf numFmtId="3" fontId="15" fillId="0" borderId="11" xfId="4" applyNumberFormat="1" applyFont="1" applyFill="1" applyBorder="1" applyAlignment="1" applyProtection="1">
      <protection locked="0"/>
    </xf>
    <xf numFmtId="49" fontId="15" fillId="0" borderId="11" xfId="4" applyNumberFormat="1" applyFont="1" applyFill="1" applyBorder="1" applyAlignment="1" applyProtection="1">
      <alignment horizontal="left"/>
      <protection locked="0"/>
    </xf>
    <xf numFmtId="0" fontId="15" fillId="0" borderId="11" xfId="4" applyFont="1" applyFill="1" applyBorder="1"/>
    <xf numFmtId="0" fontId="15" fillId="0" borderId="71" xfId="4" applyFont="1" applyBorder="1"/>
    <xf numFmtId="165" fontId="15" fillId="0" borderId="11" xfId="2" applyNumberFormat="1" applyFont="1" applyBorder="1"/>
    <xf numFmtId="165" fontId="15" fillId="0" borderId="72" xfId="2" applyNumberFormat="1" applyFont="1" applyBorder="1"/>
    <xf numFmtId="167" fontId="15" fillId="0" borderId="0" xfId="2" applyNumberFormat="1" applyFont="1" applyBorder="1"/>
    <xf numFmtId="167" fontId="15" fillId="0" borderId="30" xfId="2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3" fontId="33" fillId="0" borderId="0" xfId="1" applyNumberFormat="1" applyFont="1" applyFill="1"/>
    <xf numFmtId="0" fontId="0" fillId="0" borderId="0" xfId="0" applyFont="1" applyFill="1"/>
    <xf numFmtId="3" fontId="33" fillId="0" borderId="2" xfId="1" applyNumberFormat="1" applyFont="1" applyFill="1" applyBorder="1"/>
    <xf numFmtId="3" fontId="33" fillId="0" borderId="0" xfId="1" applyNumberFormat="1" applyFont="1" applyFill="1" applyBorder="1"/>
    <xf numFmtId="3" fontId="34" fillId="0" borderId="0" xfId="1" applyNumberFormat="1" applyFont="1" applyFill="1"/>
    <xf numFmtId="3" fontId="34" fillId="0" borderId="0" xfId="1" applyNumberFormat="1" applyFont="1"/>
    <xf numFmtId="0" fontId="0" fillId="0" borderId="0" xfId="0" applyFont="1" applyFill="1" applyBorder="1"/>
    <xf numFmtId="0" fontId="0" fillId="0" borderId="24" xfId="0" applyFont="1" applyFill="1" applyBorder="1"/>
    <xf numFmtId="0" fontId="0" fillId="0" borderId="0" xfId="0" applyFont="1" applyBorder="1"/>
    <xf numFmtId="0" fontId="0" fillId="0" borderId="24" xfId="0" applyFont="1" applyBorder="1"/>
    <xf numFmtId="0" fontId="34" fillId="0" borderId="0" xfId="0" applyFont="1" applyFill="1" applyBorder="1"/>
    <xf numFmtId="0" fontId="34" fillId="0" borderId="0" xfId="0" applyFont="1"/>
    <xf numFmtId="0" fontId="34" fillId="0" borderId="0" xfId="0" applyFont="1" applyFill="1"/>
    <xf numFmtId="0" fontId="34" fillId="0" borderId="0" xfId="0" applyFont="1" applyBorder="1"/>
    <xf numFmtId="166" fontId="15" fillId="13" borderId="50" xfId="5" quotePrefix="1" applyNumberFormat="1" applyFont="1" applyFill="1" applyBorder="1" applyProtection="1">
      <protection locked="0"/>
    </xf>
    <xf numFmtId="166" fontId="15" fillId="13" borderId="43" xfId="5" applyNumberFormat="1" applyFont="1" applyFill="1" applyBorder="1" applyAlignment="1" applyProtection="1">
      <alignment horizontal="right"/>
      <protection locked="0"/>
    </xf>
    <xf numFmtId="166" fontId="15" fillId="13" borderId="50" xfId="5" applyNumberFormat="1" applyFont="1" applyFill="1" applyBorder="1" applyAlignment="1" applyProtection="1">
      <alignment horizontal="right"/>
      <protection locked="0"/>
    </xf>
    <xf numFmtId="166" fontId="15" fillId="13" borderId="50" xfId="5" applyNumberFormat="1" applyFont="1" applyFill="1" applyBorder="1"/>
    <xf numFmtId="166" fontId="21" fillId="13" borderId="50" xfId="5" applyNumberFormat="1" applyFont="1" applyFill="1" applyBorder="1" applyProtection="1">
      <protection locked="0"/>
    </xf>
    <xf numFmtId="166" fontId="15" fillId="13" borderId="43" xfId="5" applyNumberFormat="1" applyFont="1" applyFill="1" applyBorder="1" applyProtection="1">
      <protection locked="0"/>
    </xf>
    <xf numFmtId="166" fontId="15" fillId="13" borderId="50" xfId="5" applyNumberFormat="1" applyFont="1" applyFill="1" applyBorder="1" applyProtection="1">
      <protection locked="0"/>
    </xf>
    <xf numFmtId="166" fontId="15" fillId="13" borderId="43" xfId="5" applyNumberFormat="1" applyFont="1" applyFill="1" applyBorder="1"/>
    <xf numFmtId="166" fontId="15" fillId="13" borderId="56" xfId="5" applyNumberFormat="1" applyFont="1" applyFill="1" applyBorder="1" applyProtection="1">
      <protection locked="0"/>
    </xf>
    <xf numFmtId="166" fontId="15" fillId="13" borderId="59" xfId="5" applyNumberFormat="1" applyFont="1" applyFill="1" applyBorder="1" applyProtection="1">
      <protection locked="0"/>
    </xf>
  </cellXfs>
  <cellStyles count="15">
    <cellStyle name="Comma 3" xfId="8"/>
    <cellStyle name="Excel Built-in Normal" xfId="6"/>
    <cellStyle name="Komma" xfId="1" builtinId="3"/>
    <cellStyle name="Komma 2" xfId="5"/>
    <cellStyle name="Normal" xfId="0" builtinId="0"/>
    <cellStyle name="Normal 2" xfId="4"/>
    <cellStyle name="Normal 3" xfId="7"/>
    <cellStyle name="Normal 3 2" xfId="12"/>
    <cellStyle name="Normal 3 3" xfId="13"/>
    <cellStyle name="Normal 4" xfId="9"/>
    <cellStyle name="Normal 5" xfId="14"/>
    <cellStyle name="Prosent" xfId="2" builtinId="5"/>
    <cellStyle name="Prosent 2" xfId="3"/>
    <cellStyle name="Prosent 2 2" xfId="11"/>
    <cellStyle name="Prosent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explosion val="29"/>
          <c:dPt>
            <c:idx val="0"/>
            <c:bubble3D val="0"/>
            <c:explosion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17F-4E03-B297-AB4B6857E65A}"/>
              </c:ext>
            </c:extLst>
          </c:dPt>
          <c:dPt>
            <c:idx val="1"/>
            <c:bubble3D val="0"/>
            <c:explosion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17F-4E03-B297-AB4B6857E65A}"/>
              </c:ext>
            </c:extLst>
          </c:dPt>
          <c:dPt>
            <c:idx val="3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17F-4E03-B297-AB4B6857E65A}"/>
              </c:ext>
            </c:extLst>
          </c:dPt>
          <c:dPt>
            <c:idx val="5"/>
            <c:bubble3D val="0"/>
            <c:explosion val="0"/>
            <c:extLst>
              <c:ext xmlns:c16="http://schemas.microsoft.com/office/drawing/2014/chart" uri="{C3380CC4-5D6E-409C-BE32-E72D297353CC}">
                <c16:uniqueId val="{00000005-517F-4E03-B297-AB4B6857E65A}"/>
              </c:ext>
            </c:extLst>
          </c:dPt>
          <c:dLbls>
            <c:dLbl>
              <c:idx val="2"/>
              <c:layout>
                <c:manualLayout>
                  <c:x val="-0.22713035870516185"/>
                  <c:y val="0.15789473684210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7F-4E03-B297-AB4B6857E65A}"/>
                </c:ext>
              </c:extLst>
            </c:dLbl>
            <c:dLbl>
              <c:idx val="3"/>
              <c:layout>
                <c:manualLayout>
                  <c:x val="4.2480314960629921E-3"/>
                  <c:y val="-3.1764440041021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7F-4E03-B297-AB4B6857E65A}"/>
                </c:ext>
              </c:extLst>
            </c:dLbl>
            <c:dLbl>
              <c:idx val="4"/>
              <c:layout>
                <c:manualLayout>
                  <c:x val="0.25763779527559055"/>
                  <c:y val="0.162883662720967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7F-4E03-B297-AB4B6857E65A}"/>
                </c:ext>
              </c:extLst>
            </c:dLbl>
            <c:dLbl>
              <c:idx val="5"/>
              <c:layout>
                <c:manualLayout>
                  <c:x val="0.15763801399825023"/>
                  <c:y val="-3.18822895482435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7F-4E03-B297-AB4B6857E65A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Høreapparater!$D$483:$D$488</c:f>
              <c:strCache>
                <c:ptCount val="6"/>
                <c:pt idx="0">
                  <c:v>Bak øret</c:v>
                </c:pt>
                <c:pt idx="1">
                  <c:v>I øret</c:v>
                </c:pt>
                <c:pt idx="2">
                  <c:v>Kanal</c:v>
                </c:pt>
                <c:pt idx="3">
                  <c:v>CIC</c:v>
                </c:pt>
                <c:pt idx="4">
                  <c:v>IIC</c:v>
                </c:pt>
                <c:pt idx="5">
                  <c:v>Benforankret</c:v>
                </c:pt>
              </c:strCache>
            </c:strRef>
          </c:cat>
          <c:val>
            <c:numRef>
              <c:f>Høreapparater!$J$483:$J$488</c:f>
              <c:numCache>
                <c:formatCode>General</c:formatCode>
                <c:ptCount val="6"/>
                <c:pt idx="0">
                  <c:v>24382</c:v>
                </c:pt>
                <c:pt idx="1">
                  <c:v>1704</c:v>
                </c:pt>
                <c:pt idx="2">
                  <c:v>0</c:v>
                </c:pt>
                <c:pt idx="3">
                  <c:v>665</c:v>
                </c:pt>
                <c:pt idx="4">
                  <c:v>8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7F-4E03-B297-AB4B6857E6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Antall høreapparater fakturert NAV</a:t>
            </a:r>
          </a:p>
        </c:rich>
      </c:tx>
      <c:layout>
        <c:manualLayout>
          <c:xMode val="edge"/>
          <c:yMode val="edge"/>
          <c:x val="0.29674353388763597"/>
          <c:y val="2.721088435374149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noFill/>
            <a:ln>
              <a:solidFill>
                <a:schemeClr val="tx1"/>
              </a:solidFill>
            </a:ln>
          </c:spPr>
          <c:dLbls>
            <c:numFmt formatCode="0.0\ 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Høreapparater!$F$541:$F$549</c:f>
              <c:strCache>
                <c:ptCount val="9"/>
                <c:pt idx="0">
                  <c:v>Widex Norge AS</c:v>
                </c:pt>
                <c:pt idx="1">
                  <c:v>GN Hearing Norway AS</c:v>
                </c:pt>
                <c:pt idx="2">
                  <c:v>Sivantos AS</c:v>
                </c:pt>
                <c:pt idx="3">
                  <c:v>Oticon AS</c:v>
                </c:pt>
                <c:pt idx="4">
                  <c:v>Sonova Norway AS</c:v>
                </c:pt>
                <c:pt idx="5">
                  <c:v>Starkey Norway AS</c:v>
                </c:pt>
                <c:pt idx="6">
                  <c:v>Cantec AS</c:v>
                </c:pt>
                <c:pt idx="7">
                  <c:v>Medus AS</c:v>
                </c:pt>
                <c:pt idx="8">
                  <c:v>Cochlear Norway AS</c:v>
                </c:pt>
              </c:strCache>
            </c:strRef>
          </c:cat>
          <c:val>
            <c:numRef>
              <c:f>Høreapparater!$J$541:$J$549</c:f>
              <c:numCache>
                <c:formatCode>General</c:formatCode>
                <c:ptCount val="9"/>
                <c:pt idx="0">
                  <c:v>4863</c:v>
                </c:pt>
                <c:pt idx="1">
                  <c:v>5506</c:v>
                </c:pt>
                <c:pt idx="2">
                  <c:v>5696</c:v>
                </c:pt>
                <c:pt idx="3">
                  <c:v>3880</c:v>
                </c:pt>
                <c:pt idx="4">
                  <c:v>4521</c:v>
                </c:pt>
                <c:pt idx="5">
                  <c:v>1091</c:v>
                </c:pt>
                <c:pt idx="6">
                  <c:v>860</c:v>
                </c:pt>
                <c:pt idx="7">
                  <c:v>342</c:v>
                </c:pt>
                <c:pt idx="8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C-4562-82EA-8B63A0ECE1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21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Tinnitusmaskerere</a:t>
            </a:r>
            <a:br>
              <a:rPr lang="nb-NO"/>
            </a:br>
            <a:r>
              <a:rPr lang="nb-NO"/>
              <a:t>hele 2019</a:t>
            </a:r>
          </a:p>
        </c:rich>
      </c:tx>
      <c:layout>
        <c:manualLayout>
          <c:xMode val="edge"/>
          <c:yMode val="edge"/>
          <c:x val="0.78775592720331444"/>
          <c:y val="6.43280521108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880410403245048"/>
          <c:y val="0.1781380768699459"/>
          <c:w val="0.27052376304201642"/>
          <c:h val="0.6626189337668824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CD-4081-83E8-76A0EFFBA748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CD-4081-83E8-76A0EFFBA748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CD-4081-83E8-76A0EFFBA748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CD-4081-83E8-76A0EFFBA748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CD-4081-83E8-76A0EFFBA748}"/>
              </c:ext>
            </c:extLst>
          </c:dPt>
          <c:dLbls>
            <c:dLbl>
              <c:idx val="0"/>
              <c:layout>
                <c:manualLayout>
                  <c:x val="1.6987576552930882E-2"/>
                  <c:y val="3.31950207468879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CD-4081-83E8-76A0EFFBA748}"/>
                </c:ext>
              </c:extLst>
            </c:dLbl>
            <c:dLbl>
              <c:idx val="1"/>
              <c:layout>
                <c:manualLayout>
                  <c:x val="-0.11017340332458443"/>
                  <c:y val="0.191212032105945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CD-4081-83E8-76A0EFFBA748}"/>
                </c:ext>
              </c:extLst>
            </c:dLbl>
            <c:dLbl>
              <c:idx val="3"/>
              <c:layout>
                <c:manualLayout>
                  <c:x val="-0.10974707415649376"/>
                  <c:y val="2.87430134465547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CD-4081-83E8-76A0EFFBA748}"/>
                </c:ext>
              </c:extLst>
            </c:dLbl>
            <c:dLbl>
              <c:idx val="4"/>
              <c:layout>
                <c:manualLayout>
                  <c:x val="4.3149069739366053E-2"/>
                  <c:y val="-0.229778808769235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CD-4081-83E8-76A0EFFBA748}"/>
                </c:ext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Tinnitusmaskerere!$E$29:$E$33</c:f>
              <c:strCache>
                <c:ptCount val="5"/>
                <c:pt idx="0">
                  <c:v>Bak øret</c:v>
                </c:pt>
                <c:pt idx="1">
                  <c:v>I øret</c:v>
                </c:pt>
                <c:pt idx="2">
                  <c:v>Kanal</c:v>
                </c:pt>
                <c:pt idx="3">
                  <c:v>Helix</c:v>
                </c:pt>
                <c:pt idx="4">
                  <c:v>Bord</c:v>
                </c:pt>
              </c:strCache>
            </c:strRef>
          </c:cat>
          <c:val>
            <c:numRef>
              <c:f>Tinnitusmaskerere!$K$29:$K$33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CD-4081-83E8-76A0EFFBA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Side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Antall høreapparater
fordelt på leverandør
1. kvartal 2013</a:t>
            </a:r>
          </a:p>
        </c:rich>
      </c:tx>
      <c:layout>
        <c:manualLayout>
          <c:xMode val="edge"/>
          <c:yMode val="edge"/>
          <c:x val="0.6812815863241206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53750197763147"/>
          <c:y val="0.20726563025775624"/>
          <c:w val="0.34569983136593591"/>
          <c:h val="0.6570533386334968"/>
        </c:manualLayout>
      </c:layout>
      <c:doughnutChart>
        <c:varyColors val="1"/>
        <c:ser>
          <c:idx val="0"/>
          <c:order val="0"/>
          <c:spPr>
            <a:ln w="158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C8-415B-97A5-6EF5CD572439}"/>
              </c:ext>
            </c:extLst>
          </c:dPt>
          <c:dPt>
            <c:idx val="1"/>
            <c:bubble3D val="0"/>
            <c:spPr>
              <a:pattFill prst="pct25">
                <a:fgClr>
                  <a:srgbClr val="8080FF"/>
                </a:fgClr>
                <a:bgClr>
                  <a:schemeClr val="bg1"/>
                </a:bgClr>
              </a:pattFill>
              <a:ln w="158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2C8-415B-97A5-6EF5CD572439}"/>
              </c:ext>
            </c:extLst>
          </c:dPt>
          <c:dPt>
            <c:idx val="4"/>
            <c:bubble3D val="0"/>
            <c:spPr>
              <a:pattFill prst="lgCheck">
                <a:fgClr>
                  <a:srgbClr val="8080FF"/>
                </a:fgClr>
                <a:bgClr>
                  <a:schemeClr val="bg1"/>
                </a:bgClr>
              </a:pattFill>
              <a:ln w="158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2C8-415B-97A5-6EF5CD572439}"/>
              </c:ext>
            </c:extLst>
          </c:dPt>
          <c:dLbls>
            <c:dLbl>
              <c:idx val="0"/>
              <c:layout>
                <c:manualLayout>
                  <c:x val="-1.2734567375368652E-2"/>
                  <c:y val="-0.2210788074567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C8-415B-97A5-6EF5CD572439}"/>
                </c:ext>
              </c:extLst>
            </c:dLbl>
            <c:dLbl>
              <c:idx val="1"/>
              <c:layout>
                <c:manualLayout>
                  <c:x val="0.14035901617398289"/>
                  <c:y val="-3.1744060838549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C8-415B-97A5-6EF5CD572439}"/>
                </c:ext>
              </c:extLst>
            </c:dLbl>
            <c:dLbl>
              <c:idx val="2"/>
              <c:layout>
                <c:manualLayout>
                  <c:x val="8.5576149967343723E-2"/>
                  <c:y val="0.197724611346658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C8-415B-97A5-6EF5CD572439}"/>
                </c:ext>
              </c:extLst>
            </c:dLbl>
            <c:dLbl>
              <c:idx val="3"/>
              <c:layout>
                <c:manualLayout>
                  <c:x val="-7.115643774821806E-2"/>
                  <c:y val="0.19512349417861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C8-415B-97A5-6EF5CD572439}"/>
                </c:ext>
              </c:extLst>
            </c:dLbl>
            <c:dLbl>
              <c:idx val="4"/>
              <c:layout>
                <c:manualLayout>
                  <c:x val="-0.10693846422211134"/>
                  <c:y val="7.93670502725620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C8-415B-97A5-6EF5CD572439}"/>
                </c:ext>
              </c:extLst>
            </c:dLbl>
            <c:dLbl>
              <c:idx val="5"/>
              <c:layout>
                <c:manualLayout>
                  <c:x val="-0.1185973623467082"/>
                  <c:y val="-3.75038697085941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C8-415B-97A5-6EF5CD572439}"/>
                </c:ext>
              </c:extLst>
            </c:dLbl>
            <c:dLbl>
              <c:idx val="6"/>
              <c:layout>
                <c:manualLayout>
                  <c:x val="-8.6577014040169251E-2"/>
                  <c:y val="-0.13152096372568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C8-415B-97A5-6EF5CD572439}"/>
                </c:ext>
              </c:extLst>
            </c:dLbl>
            <c:dLbl>
              <c:idx val="7"/>
              <c:layout>
                <c:manualLayout>
                  <c:x val="-8.2591082606173455E-2"/>
                  <c:y val="-0.261212396527357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C8-415B-97A5-6EF5CD572439}"/>
                </c:ext>
              </c:extLst>
            </c:dLbl>
            <c:dLbl>
              <c:idx val="8"/>
              <c:layout>
                <c:manualLayout>
                  <c:x val="-0.210358651072789"/>
                  <c:y val="-0.254101554613365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C8-415B-97A5-6EF5CD572439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996627318718381"/>
                  <c:y val="6.08976265074948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C8-415B-97A5-6EF5CD572439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25203302058129401"/>
                  <c:y val="3.34448160535117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C8-415B-97A5-6EF5CD572439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1300875136709094"/>
                  <c:y val="0.257525083612040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C8-415B-97A5-6EF5CD572439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Tinnitusmaskerere!$E$80:$E$88</c:f>
            </c:multiLvlStrRef>
          </c:cat>
          <c:val>
            <c:numRef>
              <c:f>Tinnitusmaskerere!$G$80:$G$88</c:f>
            </c:numRef>
          </c:val>
          <c:extLst>
            <c:ext xmlns:c16="http://schemas.microsoft.com/office/drawing/2014/chart" uri="{C3380CC4-5D6E-409C-BE32-E72D297353CC}">
              <c16:uniqueId val="{0000000E-D2C8-415B-97A5-6EF5CD572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2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Side &amp;P</c:oddFooter>
    </c:headerFooter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Tilbehør unntatt propper</a:t>
            </a:r>
          </a:p>
          <a:p>
            <a:pPr>
              <a:defRPr/>
            </a:pPr>
            <a:r>
              <a:rPr lang="nb-NO"/>
              <a:t>andel av verdi</a:t>
            </a:r>
          </a:p>
        </c:rich>
      </c:tx>
      <c:layout>
        <c:manualLayout>
          <c:xMode val="edge"/>
          <c:yMode val="edge"/>
          <c:x val="8.9149124225969874E-3"/>
          <c:y val="1.036269711903420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Tilbehør!$A$3:$A$11</c:f>
              <c:strCache>
                <c:ptCount val="9"/>
                <c:pt idx="0">
                  <c:v>Cantec</c:v>
                </c:pt>
                <c:pt idx="1">
                  <c:v>Cochlear</c:v>
                </c:pt>
                <c:pt idx="2">
                  <c:v>GN Hearing</c:v>
                </c:pt>
                <c:pt idx="3">
                  <c:v>Medus</c:v>
                </c:pt>
                <c:pt idx="4">
                  <c:v>Oticon</c:v>
                </c:pt>
                <c:pt idx="5">
                  <c:v>Sivantos</c:v>
                </c:pt>
                <c:pt idx="6">
                  <c:v>Sonova</c:v>
                </c:pt>
                <c:pt idx="7">
                  <c:v>Starkey</c:v>
                </c:pt>
                <c:pt idx="8">
                  <c:v>Widex</c:v>
                </c:pt>
              </c:strCache>
            </c:strRef>
          </c:cat>
          <c:val>
            <c:numRef>
              <c:f>Tilbehør!$K$3:$K$11</c:f>
              <c:numCache>
                <c:formatCode>#,##0</c:formatCode>
                <c:ptCount val="9"/>
                <c:pt idx="0">
                  <c:v>454754</c:v>
                </c:pt>
                <c:pt idx="1">
                  <c:v>205002</c:v>
                </c:pt>
                <c:pt idx="2">
                  <c:v>3437124</c:v>
                </c:pt>
                <c:pt idx="3">
                  <c:v>467222</c:v>
                </c:pt>
                <c:pt idx="4">
                  <c:v>2531890</c:v>
                </c:pt>
                <c:pt idx="5">
                  <c:v>2678303</c:v>
                </c:pt>
                <c:pt idx="6">
                  <c:v>5275205</c:v>
                </c:pt>
                <c:pt idx="7">
                  <c:v>728243</c:v>
                </c:pt>
                <c:pt idx="8">
                  <c:v>3586471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2-4FC1-A847-1A2AC085DE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471486</xdr:colOff>
      <xdr:row>489</xdr:row>
      <xdr:rowOff>142876</xdr:rowOff>
    </xdr:from>
    <xdr:to>
      <xdr:col>8</xdr:col>
      <xdr:colOff>878415</xdr:colOff>
      <xdr:row>507</xdr:row>
      <xdr:rowOff>95251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109537</xdr:colOff>
      <xdr:row>518</xdr:row>
      <xdr:rowOff>114299</xdr:rowOff>
    </xdr:from>
    <xdr:to>
      <xdr:col>8</xdr:col>
      <xdr:colOff>752475</xdr:colOff>
      <xdr:row>539</xdr:row>
      <xdr:rowOff>148166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35</xdr:row>
      <xdr:rowOff>0</xdr:rowOff>
    </xdr:from>
    <xdr:to>
      <xdr:col>9</xdr:col>
      <xdr:colOff>228600</xdr:colOff>
      <xdr:row>52</xdr:row>
      <xdr:rowOff>28575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60</xdr:row>
      <xdr:rowOff>38100</xdr:rowOff>
    </xdr:from>
    <xdr:to>
      <xdr:col>10</xdr:col>
      <xdr:colOff>390525</xdr:colOff>
      <xdr:row>78</xdr:row>
      <xdr:rowOff>123825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28</xdr:row>
      <xdr:rowOff>63500</xdr:rowOff>
    </xdr:from>
    <xdr:to>
      <xdr:col>8</xdr:col>
      <xdr:colOff>18613</xdr:colOff>
      <xdr:row>52</xdr:row>
      <xdr:rowOff>63830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" y="5228167"/>
          <a:ext cx="5712447" cy="38103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25400</xdr:rowOff>
    </xdr:from>
    <xdr:to>
      <xdr:col>10</xdr:col>
      <xdr:colOff>698500</xdr:colOff>
      <xdr:row>43</xdr:row>
      <xdr:rowOff>63500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2821_&#216;K/Grupper/Gruppe20/Anskaffelse%20hjelpemidler/Produktomr&#229;der/08_H&#248;reapp_tinmask/Statistikk/2016/Stat%20hap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øreapparater"/>
      <sheetName val="Tinnitusmaskerere"/>
      <sheetName val="Reparasjoner"/>
      <sheetName val="Propper"/>
      <sheetName val="Tilbehør"/>
      <sheetName val="HA 95-15"/>
      <sheetName val="Sum kostnader"/>
    </sheetNames>
    <sheetDataSet>
      <sheetData sheetId="0">
        <row r="8">
          <cell r="X8">
            <v>4728</v>
          </cell>
        </row>
      </sheetData>
      <sheetData sheetId="1">
        <row r="27">
          <cell r="F27">
            <v>2648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65"/>
  <sheetViews>
    <sheetView tabSelected="1" view="pageBreakPreview" topLeftCell="A3" zoomScaleNormal="100" zoomScaleSheetLayoutView="100" workbookViewId="0">
      <pane ySplit="7" topLeftCell="A544" activePane="bottomLeft" state="frozen"/>
      <selection activeCell="A3" sqref="A3"/>
      <selection pane="bottomLeft" activeCell="Y564" sqref="Y564"/>
    </sheetView>
  </sheetViews>
  <sheetFormatPr baseColWidth="10" defaultColWidth="11.42578125" defaultRowHeight="12.75" outlineLevelRow="2" outlineLevelCol="1" x14ac:dyDescent="0.2"/>
  <cols>
    <col min="1" max="1" width="4.28515625" style="499" customWidth="1"/>
    <col min="2" max="2" width="5.42578125" style="178" customWidth="1"/>
    <col min="3" max="3" width="12" style="100" customWidth="1"/>
    <col min="4" max="4" width="30.7109375" style="100" customWidth="1"/>
    <col min="5" max="5" width="12.28515625" style="368" hidden="1" customWidth="1"/>
    <col min="6" max="6" width="15.85546875" style="100" customWidth="1"/>
    <col min="7" max="7" width="11.42578125" style="100" hidden="1" customWidth="1"/>
    <col min="8" max="8" width="6.28515625" style="103" customWidth="1"/>
    <col min="9" max="9" width="14.7109375" style="103" customWidth="1"/>
    <col min="10" max="10" width="7.42578125" style="103" customWidth="1" outlineLevel="1"/>
    <col min="11" max="12" width="7.140625" style="103" hidden="1" customWidth="1" outlineLevel="1"/>
    <col min="13" max="13" width="7.140625" style="104" hidden="1" customWidth="1" outlineLevel="1"/>
    <col min="14" max="14" width="6.5703125" style="343" bestFit="1" customWidth="1" collapsed="1"/>
    <col min="15" max="15" width="8" style="104" bestFit="1" customWidth="1"/>
    <col min="16" max="16" width="9" style="104" hidden="1" customWidth="1"/>
    <col min="17" max="17" width="8.7109375" style="104" hidden="1" customWidth="1"/>
    <col min="18" max="18" width="10.140625" style="104" hidden="1" customWidth="1"/>
    <col min="19" max="19" width="11.28515625" style="104" bestFit="1" customWidth="1"/>
    <col min="20" max="20" width="13" style="104" customWidth="1" outlineLevel="1"/>
    <col min="21" max="21" width="13" style="104" hidden="1" customWidth="1" outlineLevel="1"/>
    <col min="22" max="22" width="11.140625" style="104" hidden="1" customWidth="1" outlineLevel="1"/>
    <col min="23" max="23" width="11.28515625" style="104" hidden="1" customWidth="1" outlineLevel="1"/>
    <col min="24" max="24" width="11.28515625" style="104" customWidth="1" collapsed="1"/>
    <col min="25" max="25" width="26.85546875" style="139" customWidth="1"/>
    <col min="26" max="26" width="9.140625" style="393" customWidth="1"/>
    <col min="27" max="16384" width="11.42578125" style="104"/>
  </cols>
  <sheetData>
    <row r="1" spans="1:215" s="103" customFormat="1" ht="38.25" hidden="1" customHeight="1" thickBot="1" x14ac:dyDescent="0.25">
      <c r="A1" s="487"/>
      <c r="B1" s="99"/>
      <c r="C1" s="100"/>
      <c r="D1" s="100"/>
      <c r="E1" s="350"/>
      <c r="F1" s="101"/>
      <c r="G1" s="102"/>
      <c r="H1" s="99" t="s">
        <v>158</v>
      </c>
      <c r="I1" s="99" t="s">
        <v>158</v>
      </c>
      <c r="J1" s="99"/>
      <c r="K1" s="99"/>
      <c r="L1" s="99"/>
      <c r="M1" s="104"/>
      <c r="N1" s="343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393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</row>
    <row r="2" spans="1:215" s="109" customFormat="1" ht="13.5" hidden="1" customHeight="1" thickBot="1" x14ac:dyDescent="0.3">
      <c r="A2" s="488"/>
      <c r="B2" s="105"/>
      <c r="C2" s="106"/>
      <c r="D2" s="107"/>
      <c r="E2" s="351"/>
      <c r="F2" s="108"/>
      <c r="H2" s="110">
        <v>1</v>
      </c>
      <c r="I2" s="110">
        <f>H2+1</f>
        <v>2</v>
      </c>
      <c r="J2" s="327"/>
      <c r="K2" s="327"/>
      <c r="L2" s="327"/>
      <c r="M2" s="108"/>
      <c r="N2" s="344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</row>
    <row r="3" spans="1:215" s="103" customFormat="1" ht="30.75" customHeight="1" thickBot="1" x14ac:dyDescent="0.25">
      <c r="A3" s="489" t="s">
        <v>85</v>
      </c>
      <c r="B3" s="112" t="s">
        <v>159</v>
      </c>
      <c r="C3" s="111" t="s">
        <v>160</v>
      </c>
      <c r="D3" s="111" t="s">
        <v>161</v>
      </c>
      <c r="E3" s="204" t="s">
        <v>162</v>
      </c>
      <c r="F3" s="111" t="s">
        <v>488</v>
      </c>
      <c r="G3" s="204" t="s">
        <v>164</v>
      </c>
      <c r="H3" s="112" t="s">
        <v>165</v>
      </c>
      <c r="I3" s="112" t="s">
        <v>166</v>
      </c>
      <c r="J3" s="204" t="s">
        <v>708</v>
      </c>
      <c r="K3" s="204" t="s">
        <v>709</v>
      </c>
      <c r="L3" s="204" t="s">
        <v>711</v>
      </c>
      <c r="M3" s="204" t="s">
        <v>710</v>
      </c>
      <c r="N3" s="204" t="s">
        <v>6</v>
      </c>
      <c r="O3" s="112" t="s">
        <v>477</v>
      </c>
      <c r="P3" s="112" t="s">
        <v>478</v>
      </c>
      <c r="Q3" s="112" t="s">
        <v>479</v>
      </c>
      <c r="R3" s="112" t="s">
        <v>469</v>
      </c>
      <c r="S3" s="112" t="s">
        <v>16</v>
      </c>
      <c r="T3" s="112" t="s">
        <v>485</v>
      </c>
      <c r="U3" s="112" t="s">
        <v>486</v>
      </c>
      <c r="V3" s="112" t="s">
        <v>487</v>
      </c>
      <c r="W3" s="112" t="s">
        <v>470</v>
      </c>
      <c r="X3" s="112" t="s">
        <v>24</v>
      </c>
      <c r="Y3" s="139"/>
      <c r="Z3" s="393" t="s">
        <v>85</v>
      </c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</row>
    <row r="4" spans="1:215" s="103" customFormat="1" x14ac:dyDescent="0.2">
      <c r="A4" s="490"/>
      <c r="B4" s="114"/>
      <c r="C4" s="115"/>
      <c r="D4" s="115"/>
      <c r="E4" s="352"/>
      <c r="F4" s="115"/>
      <c r="G4" s="115"/>
      <c r="H4" s="116" t="s">
        <v>8</v>
      </c>
      <c r="I4" s="116" t="s">
        <v>128</v>
      </c>
      <c r="J4" s="116"/>
      <c r="K4" s="116"/>
      <c r="L4" s="116"/>
      <c r="M4" s="338"/>
      <c r="N4" s="345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39"/>
      <c r="Z4" s="393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</row>
    <row r="5" spans="1:215" s="103" customFormat="1" x14ac:dyDescent="0.2">
      <c r="A5" s="490"/>
      <c r="B5" s="114"/>
      <c r="C5" s="115"/>
      <c r="D5" s="409">
        <v>43633</v>
      </c>
      <c r="E5" s="352"/>
      <c r="F5" s="115"/>
      <c r="G5" s="115"/>
      <c r="H5" s="116" t="s">
        <v>9</v>
      </c>
      <c r="I5" s="116" t="s">
        <v>167</v>
      </c>
      <c r="J5" s="479" t="s">
        <v>7</v>
      </c>
      <c r="K5" s="479" t="s">
        <v>7</v>
      </c>
      <c r="L5" s="479" t="s">
        <v>7</v>
      </c>
      <c r="M5" s="479" t="s">
        <v>7</v>
      </c>
      <c r="N5" s="480" t="s">
        <v>7</v>
      </c>
      <c r="O5" s="116" t="s">
        <v>17</v>
      </c>
      <c r="P5" s="116" t="s">
        <v>17</v>
      </c>
      <c r="Q5" s="116" t="s">
        <v>17</v>
      </c>
      <c r="R5" s="116" t="s">
        <v>17</v>
      </c>
      <c r="S5" s="114" t="s">
        <v>17</v>
      </c>
      <c r="T5" s="114" t="s">
        <v>17</v>
      </c>
      <c r="U5" s="114" t="s">
        <v>17</v>
      </c>
      <c r="V5" s="114" t="s">
        <v>17</v>
      </c>
      <c r="W5" s="114" t="s">
        <v>17</v>
      </c>
      <c r="X5" s="114" t="s">
        <v>17</v>
      </c>
      <c r="Y5" s="139"/>
      <c r="Z5" s="393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</row>
    <row r="6" spans="1:215" s="103" customFormat="1" ht="12.75" customHeight="1" x14ac:dyDescent="0.2">
      <c r="A6" s="490"/>
      <c r="B6" s="114"/>
      <c r="C6" s="115"/>
      <c r="D6" s="115"/>
      <c r="E6" s="352"/>
      <c r="F6" s="115"/>
      <c r="G6" s="115"/>
      <c r="H6" s="116" t="s">
        <v>21</v>
      </c>
      <c r="I6" s="116" t="s">
        <v>68</v>
      </c>
      <c r="J6" s="116"/>
      <c r="K6" s="116"/>
      <c r="L6" s="116"/>
      <c r="M6" s="338"/>
      <c r="N6" s="345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39"/>
      <c r="Z6" s="393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</row>
    <row r="7" spans="1:215" s="103" customFormat="1" x14ac:dyDescent="0.2">
      <c r="A7" s="490"/>
      <c r="B7" s="114"/>
      <c r="C7" s="115"/>
      <c r="D7" s="115"/>
      <c r="E7" s="352"/>
      <c r="F7" s="115"/>
      <c r="G7" s="115"/>
      <c r="H7" s="116" t="s">
        <v>121</v>
      </c>
      <c r="I7" s="116" t="s">
        <v>168</v>
      </c>
      <c r="J7" s="116"/>
      <c r="K7" s="116"/>
      <c r="L7" s="116"/>
      <c r="M7" s="338"/>
      <c r="N7" s="345"/>
      <c r="O7" s="116"/>
      <c r="P7" s="116"/>
      <c r="Q7" s="116"/>
      <c r="R7" s="116"/>
      <c r="S7" s="116"/>
      <c r="T7" s="167"/>
      <c r="U7" s="167"/>
      <c r="V7" s="167"/>
      <c r="W7" s="116"/>
      <c r="X7" s="116" t="s">
        <v>22</v>
      </c>
      <c r="Y7" s="139"/>
      <c r="Z7" s="393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</row>
    <row r="8" spans="1:215" s="103" customFormat="1" x14ac:dyDescent="0.2">
      <c r="A8" s="491"/>
      <c r="B8" s="114"/>
      <c r="C8" s="117"/>
      <c r="D8" s="117"/>
      <c r="E8" s="353" t="s">
        <v>169</v>
      </c>
      <c r="F8" s="117"/>
      <c r="G8" s="117"/>
      <c r="H8" s="116" t="s">
        <v>170</v>
      </c>
      <c r="I8" s="116"/>
      <c r="J8" s="116"/>
      <c r="K8" s="116"/>
      <c r="L8" s="116"/>
      <c r="M8" s="338"/>
      <c r="N8" s="345"/>
      <c r="O8" s="116"/>
      <c r="P8" s="116"/>
      <c r="Q8" s="116"/>
      <c r="R8" s="116"/>
      <c r="S8" s="116"/>
      <c r="T8" s="167"/>
      <c r="U8" s="167"/>
      <c r="V8" s="167"/>
      <c r="W8" s="116"/>
      <c r="X8" s="481">
        <v>4832</v>
      </c>
      <c r="Y8" s="139"/>
      <c r="Z8" s="393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</row>
    <row r="9" spans="1:215" x14ac:dyDescent="0.2">
      <c r="A9" s="492"/>
      <c r="B9" s="118"/>
      <c r="C9" s="119"/>
      <c r="D9" s="119"/>
      <c r="E9" s="354"/>
      <c r="F9" s="120"/>
      <c r="G9" s="121"/>
      <c r="H9" s="122"/>
      <c r="I9" s="123"/>
      <c r="J9" s="123"/>
      <c r="K9" s="123"/>
      <c r="L9" s="123"/>
      <c r="M9" s="339"/>
      <c r="N9" s="346"/>
      <c r="O9" s="123"/>
      <c r="P9" s="123"/>
      <c r="Q9" s="123"/>
      <c r="R9" s="123"/>
      <c r="S9" s="123"/>
      <c r="T9" s="123"/>
      <c r="U9" s="123"/>
      <c r="V9" s="123"/>
      <c r="W9" s="123"/>
      <c r="X9" s="123"/>
    </row>
    <row r="10" spans="1:215" s="126" customFormat="1" ht="12.75" customHeight="1" outlineLevel="2" x14ac:dyDescent="0.2">
      <c r="A10" s="493">
        <v>1</v>
      </c>
      <c r="B10" s="124"/>
      <c r="C10" s="125" t="s">
        <v>171</v>
      </c>
      <c r="D10" s="168" t="s">
        <v>91</v>
      </c>
      <c r="E10" s="355"/>
      <c r="F10" s="174"/>
      <c r="G10" s="174"/>
      <c r="H10" s="174"/>
      <c r="I10" s="176"/>
      <c r="J10" s="176"/>
      <c r="K10" s="176"/>
      <c r="L10" s="176"/>
      <c r="M10" s="176"/>
      <c r="N10" s="347"/>
      <c r="O10" s="175"/>
      <c r="P10" s="175"/>
      <c r="Q10" s="175"/>
      <c r="R10" s="175"/>
      <c r="Z10" s="474"/>
    </row>
    <row r="11" spans="1:215" outlineLevel="2" x14ac:dyDescent="0.2">
      <c r="A11" s="494">
        <v>1</v>
      </c>
      <c r="B11" s="127">
        <v>1</v>
      </c>
      <c r="C11" s="128" t="s">
        <v>172</v>
      </c>
      <c r="D11" s="129" t="s">
        <v>173</v>
      </c>
      <c r="E11" s="184">
        <v>3700</v>
      </c>
      <c r="F11" s="130" t="s">
        <v>108</v>
      </c>
      <c r="G11" s="131" t="s">
        <v>174</v>
      </c>
      <c r="H11" s="133" t="s">
        <v>8</v>
      </c>
      <c r="I11" s="134" t="s">
        <v>168</v>
      </c>
      <c r="J11" s="134"/>
      <c r="K11" s="134"/>
      <c r="L11" s="134"/>
      <c r="M11" s="177"/>
      <c r="N11" s="302">
        <f t="shared" ref="N11:N71" si="0">SUM(J11:M11)</f>
        <v>0</v>
      </c>
      <c r="O11" s="392">
        <v>542</v>
      </c>
      <c r="P11" s="392">
        <v>542</v>
      </c>
      <c r="Q11" s="616">
        <v>542</v>
      </c>
      <c r="R11" s="392">
        <v>526</v>
      </c>
      <c r="S11" s="132">
        <f>SUMPRODUCT(J11:M11,O11:R11)</f>
        <v>0</v>
      </c>
      <c r="T11" s="132">
        <f t="shared" ref="T11:W40" si="1">IF(O11&gt;prisgrense,J11*prisgrense,J11*O11)</f>
        <v>0</v>
      </c>
      <c r="U11" s="132">
        <f t="shared" si="1"/>
        <v>0</v>
      </c>
      <c r="V11" s="132">
        <f t="shared" si="1"/>
        <v>0</v>
      </c>
      <c r="W11" s="132">
        <f t="shared" si="1"/>
        <v>0</v>
      </c>
      <c r="X11" s="132">
        <f>SUM(T11:W11)</f>
        <v>0</v>
      </c>
      <c r="Y11" s="104"/>
    </row>
    <row r="12" spans="1:215" outlineLevel="2" x14ac:dyDescent="0.2">
      <c r="A12" s="495">
        <v>1</v>
      </c>
      <c r="B12" s="127">
        <v>1</v>
      </c>
      <c r="C12" s="128" t="s">
        <v>172</v>
      </c>
      <c r="D12" s="129" t="s">
        <v>175</v>
      </c>
      <c r="E12" s="184">
        <v>3710</v>
      </c>
      <c r="F12" s="135" t="s">
        <v>108</v>
      </c>
      <c r="G12" s="135" t="s">
        <v>174</v>
      </c>
      <c r="H12" s="136" t="s">
        <v>8</v>
      </c>
      <c r="I12" s="134" t="s">
        <v>168</v>
      </c>
      <c r="J12" s="134"/>
      <c r="K12" s="134"/>
      <c r="L12" s="134"/>
      <c r="M12" s="177"/>
      <c r="N12" s="302">
        <f t="shared" si="0"/>
        <v>0</v>
      </c>
      <c r="O12" s="392">
        <v>542</v>
      </c>
      <c r="P12" s="392">
        <v>542</v>
      </c>
      <c r="Q12" s="616">
        <v>542</v>
      </c>
      <c r="R12" s="392">
        <v>526</v>
      </c>
      <c r="S12" s="132">
        <f t="shared" ref="S12:S71" si="2">SUMPRODUCT(J12:M12,O12:R12)</f>
        <v>0</v>
      </c>
      <c r="T12" s="132">
        <f t="shared" si="1"/>
        <v>0</v>
      </c>
      <c r="U12" s="132">
        <f t="shared" si="1"/>
        <v>0</v>
      </c>
      <c r="V12" s="132">
        <f t="shared" si="1"/>
        <v>0</v>
      </c>
      <c r="W12" s="132">
        <f t="shared" si="1"/>
        <v>0</v>
      </c>
      <c r="X12" s="132">
        <f t="shared" ref="X12:X71" si="3">SUM(T12:W12)</f>
        <v>0</v>
      </c>
      <c r="Y12" s="104"/>
      <c r="AC12" s="521"/>
    </row>
    <row r="13" spans="1:215" outlineLevel="2" x14ac:dyDescent="0.2">
      <c r="A13" s="494">
        <v>1</v>
      </c>
      <c r="B13" s="127">
        <v>1</v>
      </c>
      <c r="C13" s="128" t="s">
        <v>172</v>
      </c>
      <c r="D13" s="129" t="s">
        <v>176</v>
      </c>
      <c r="E13" s="184">
        <v>3720</v>
      </c>
      <c r="F13" s="135" t="s">
        <v>108</v>
      </c>
      <c r="G13" s="137" t="s">
        <v>174</v>
      </c>
      <c r="H13" s="136" t="s">
        <v>8</v>
      </c>
      <c r="I13" s="134" t="s">
        <v>68</v>
      </c>
      <c r="J13" s="134"/>
      <c r="K13" s="134"/>
      <c r="L13" s="134"/>
      <c r="M13" s="177"/>
      <c r="N13" s="302">
        <f t="shared" si="0"/>
        <v>0</v>
      </c>
      <c r="O13" s="392">
        <v>542</v>
      </c>
      <c r="P13" s="392">
        <v>542</v>
      </c>
      <c r="Q13" s="616">
        <v>542</v>
      </c>
      <c r="R13" s="392">
        <v>526</v>
      </c>
      <c r="S13" s="132">
        <f t="shared" si="2"/>
        <v>0</v>
      </c>
      <c r="T13" s="132">
        <f t="shared" si="1"/>
        <v>0</v>
      </c>
      <c r="U13" s="132">
        <f t="shared" si="1"/>
        <v>0</v>
      </c>
      <c r="V13" s="132">
        <f t="shared" si="1"/>
        <v>0</v>
      </c>
      <c r="W13" s="132">
        <f t="shared" si="1"/>
        <v>0</v>
      </c>
      <c r="X13" s="132">
        <f t="shared" si="3"/>
        <v>0</v>
      </c>
      <c r="Y13" s="104"/>
      <c r="AC13" s="521"/>
    </row>
    <row r="14" spans="1:215" outlineLevel="2" x14ac:dyDescent="0.2">
      <c r="A14" s="494">
        <v>1</v>
      </c>
      <c r="B14" s="127">
        <v>1</v>
      </c>
      <c r="C14" s="128" t="s">
        <v>172</v>
      </c>
      <c r="D14" s="129" t="s">
        <v>177</v>
      </c>
      <c r="E14" s="184">
        <v>3730</v>
      </c>
      <c r="F14" s="135" t="s">
        <v>108</v>
      </c>
      <c r="G14" s="137" t="s">
        <v>174</v>
      </c>
      <c r="H14" s="136" t="s">
        <v>8</v>
      </c>
      <c r="I14" s="134" t="s">
        <v>68</v>
      </c>
      <c r="J14" s="134"/>
      <c r="K14" s="134"/>
      <c r="L14" s="134"/>
      <c r="M14" s="177"/>
      <c r="N14" s="302">
        <f t="shared" si="0"/>
        <v>0</v>
      </c>
      <c r="O14" s="392">
        <v>4977</v>
      </c>
      <c r="P14" s="392">
        <v>4977</v>
      </c>
      <c r="Q14" s="616">
        <v>4977</v>
      </c>
      <c r="R14" s="392">
        <v>4832</v>
      </c>
      <c r="S14" s="132">
        <f t="shared" si="2"/>
        <v>0</v>
      </c>
      <c r="T14" s="132">
        <f t="shared" si="1"/>
        <v>0</v>
      </c>
      <c r="U14" s="132">
        <f t="shared" si="1"/>
        <v>0</v>
      </c>
      <c r="V14" s="132">
        <f t="shared" si="1"/>
        <v>0</v>
      </c>
      <c r="W14" s="132">
        <f t="shared" si="1"/>
        <v>0</v>
      </c>
      <c r="X14" s="132">
        <f t="shared" si="3"/>
        <v>0</v>
      </c>
      <c r="Z14" s="394"/>
      <c r="AA14" s="139"/>
      <c r="AB14" s="139"/>
      <c r="AC14" s="521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</row>
    <row r="15" spans="1:215" outlineLevel="2" x14ac:dyDescent="0.2">
      <c r="A15" s="494">
        <v>1</v>
      </c>
      <c r="B15" s="127">
        <v>1</v>
      </c>
      <c r="C15" s="128" t="s">
        <v>172</v>
      </c>
      <c r="D15" s="129" t="s">
        <v>178</v>
      </c>
      <c r="E15" s="184">
        <v>3740</v>
      </c>
      <c r="F15" s="135" t="s">
        <v>108</v>
      </c>
      <c r="G15" s="137" t="s">
        <v>174</v>
      </c>
      <c r="H15" s="136" t="s">
        <v>9</v>
      </c>
      <c r="I15" s="134" t="s">
        <v>504</v>
      </c>
      <c r="J15" s="134"/>
      <c r="K15" s="134"/>
      <c r="L15" s="134"/>
      <c r="M15" s="177"/>
      <c r="N15" s="302">
        <f t="shared" si="0"/>
        <v>0</v>
      </c>
      <c r="O15" s="392">
        <v>542</v>
      </c>
      <c r="P15" s="392">
        <v>542</v>
      </c>
      <c r="Q15" s="616">
        <v>542</v>
      </c>
      <c r="R15" s="392">
        <v>526</v>
      </c>
      <c r="S15" s="132">
        <f t="shared" si="2"/>
        <v>0</v>
      </c>
      <c r="T15" s="132">
        <f t="shared" si="1"/>
        <v>0</v>
      </c>
      <c r="U15" s="132">
        <f t="shared" si="1"/>
        <v>0</v>
      </c>
      <c r="V15" s="132">
        <f t="shared" si="1"/>
        <v>0</v>
      </c>
      <c r="W15" s="132">
        <f t="shared" si="1"/>
        <v>0</v>
      </c>
      <c r="X15" s="132">
        <f t="shared" si="3"/>
        <v>0</v>
      </c>
      <c r="Y15" s="104"/>
      <c r="AC15" s="521"/>
    </row>
    <row r="16" spans="1:215" outlineLevel="2" x14ac:dyDescent="0.2">
      <c r="A16" s="494">
        <v>1</v>
      </c>
      <c r="B16" s="127">
        <v>1</v>
      </c>
      <c r="C16" s="128" t="s">
        <v>172</v>
      </c>
      <c r="D16" s="129" t="s">
        <v>179</v>
      </c>
      <c r="E16" s="184">
        <v>3742</v>
      </c>
      <c r="F16" s="135" t="s">
        <v>108</v>
      </c>
      <c r="G16" s="137" t="s">
        <v>174</v>
      </c>
      <c r="H16" s="136" t="s">
        <v>21</v>
      </c>
      <c r="I16" s="134" t="s">
        <v>504</v>
      </c>
      <c r="J16" s="134"/>
      <c r="K16" s="134"/>
      <c r="L16" s="134"/>
      <c r="M16" s="177"/>
      <c r="N16" s="302">
        <f t="shared" si="0"/>
        <v>0</v>
      </c>
      <c r="O16" s="392">
        <v>542</v>
      </c>
      <c r="P16" s="392">
        <v>542</v>
      </c>
      <c r="Q16" s="616">
        <v>542</v>
      </c>
      <c r="R16" s="392">
        <v>526</v>
      </c>
      <c r="S16" s="132">
        <f t="shared" si="2"/>
        <v>0</v>
      </c>
      <c r="T16" s="132">
        <f t="shared" si="1"/>
        <v>0</v>
      </c>
      <c r="U16" s="132">
        <f t="shared" si="1"/>
        <v>0</v>
      </c>
      <c r="V16" s="132">
        <f t="shared" si="1"/>
        <v>0</v>
      </c>
      <c r="W16" s="132">
        <f t="shared" si="1"/>
        <v>0</v>
      </c>
      <c r="X16" s="132">
        <f t="shared" si="3"/>
        <v>0</v>
      </c>
      <c r="Y16" s="104"/>
      <c r="AC16" s="521"/>
    </row>
    <row r="17" spans="1:215" outlineLevel="2" x14ac:dyDescent="0.2">
      <c r="A17" s="496">
        <v>1</v>
      </c>
      <c r="B17" s="127">
        <v>2</v>
      </c>
      <c r="C17" s="141" t="s">
        <v>180</v>
      </c>
      <c r="D17" s="128" t="s">
        <v>181</v>
      </c>
      <c r="E17" s="356">
        <v>1010200</v>
      </c>
      <c r="F17" s="130" t="s">
        <v>746</v>
      </c>
      <c r="G17" s="131" t="s">
        <v>105</v>
      </c>
      <c r="H17" s="133" t="s">
        <v>8</v>
      </c>
      <c r="I17" s="134" t="s">
        <v>168</v>
      </c>
      <c r="J17" s="134"/>
      <c r="K17" s="134"/>
      <c r="L17" s="134"/>
      <c r="M17" s="177"/>
      <c r="N17" s="302">
        <f t="shared" si="0"/>
        <v>0</v>
      </c>
      <c r="O17" s="142">
        <v>446</v>
      </c>
      <c r="P17" s="142">
        <v>446</v>
      </c>
      <c r="Q17" s="617">
        <v>446</v>
      </c>
      <c r="R17" s="142">
        <v>417</v>
      </c>
      <c r="S17" s="132">
        <f t="shared" si="2"/>
        <v>0</v>
      </c>
      <c r="T17" s="132">
        <f t="shared" si="1"/>
        <v>0</v>
      </c>
      <c r="U17" s="132">
        <f t="shared" si="1"/>
        <v>0</v>
      </c>
      <c r="V17" s="132">
        <f t="shared" si="1"/>
        <v>0</v>
      </c>
      <c r="W17" s="132">
        <f t="shared" si="1"/>
        <v>0</v>
      </c>
      <c r="X17" s="132">
        <f t="shared" si="3"/>
        <v>0</v>
      </c>
      <c r="Y17" s="104"/>
      <c r="AC17" s="521"/>
    </row>
    <row r="18" spans="1:215" outlineLevel="2" x14ac:dyDescent="0.2">
      <c r="A18" s="497">
        <v>1</v>
      </c>
      <c r="B18" s="127">
        <v>2</v>
      </c>
      <c r="C18" s="141" t="s">
        <v>180</v>
      </c>
      <c r="D18" s="128" t="s">
        <v>182</v>
      </c>
      <c r="E18" s="357">
        <v>1010201</v>
      </c>
      <c r="F18" s="130" t="s">
        <v>746</v>
      </c>
      <c r="G18" s="131" t="s">
        <v>105</v>
      </c>
      <c r="H18" s="133" t="s">
        <v>8</v>
      </c>
      <c r="I18" s="134" t="s">
        <v>168</v>
      </c>
      <c r="J18" s="134">
        <v>9</v>
      </c>
      <c r="K18" s="134"/>
      <c r="L18" s="134"/>
      <c r="M18" s="177"/>
      <c r="N18" s="302">
        <f t="shared" si="0"/>
        <v>9</v>
      </c>
      <c r="O18" s="142">
        <v>4674</v>
      </c>
      <c r="P18" s="142">
        <v>4674</v>
      </c>
      <c r="Q18" s="617">
        <v>4674</v>
      </c>
      <c r="R18" s="142">
        <v>4374</v>
      </c>
      <c r="S18" s="132">
        <f t="shared" si="2"/>
        <v>42066</v>
      </c>
      <c r="T18" s="132">
        <f t="shared" si="1"/>
        <v>42066</v>
      </c>
      <c r="U18" s="132">
        <f t="shared" si="1"/>
        <v>0</v>
      </c>
      <c r="V18" s="132">
        <f t="shared" si="1"/>
        <v>0</v>
      </c>
      <c r="W18" s="132">
        <f t="shared" si="1"/>
        <v>0</v>
      </c>
      <c r="X18" s="132">
        <f t="shared" si="3"/>
        <v>42066</v>
      </c>
      <c r="Z18" s="394"/>
      <c r="AA18" s="139"/>
      <c r="AB18" s="139"/>
      <c r="AC18" s="521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</row>
    <row r="19" spans="1:215" outlineLevel="2" x14ac:dyDescent="0.2">
      <c r="A19" s="496">
        <v>1</v>
      </c>
      <c r="B19" s="127">
        <v>2</v>
      </c>
      <c r="C19" s="141" t="s">
        <v>180</v>
      </c>
      <c r="D19" s="128" t="s">
        <v>183</v>
      </c>
      <c r="E19" s="356">
        <v>1010203</v>
      </c>
      <c r="F19" s="130" t="s">
        <v>746</v>
      </c>
      <c r="G19" s="131" t="s">
        <v>105</v>
      </c>
      <c r="H19" s="133" t="s">
        <v>8</v>
      </c>
      <c r="I19" s="134" t="s">
        <v>168</v>
      </c>
      <c r="J19" s="134"/>
      <c r="K19" s="134"/>
      <c r="L19" s="134"/>
      <c r="M19" s="177"/>
      <c r="N19" s="302">
        <f t="shared" si="0"/>
        <v>0</v>
      </c>
      <c r="O19" s="142">
        <v>446</v>
      </c>
      <c r="P19" s="142">
        <v>446</v>
      </c>
      <c r="Q19" s="617">
        <v>446</v>
      </c>
      <c r="R19" s="142">
        <v>417</v>
      </c>
      <c r="S19" s="132">
        <f t="shared" si="2"/>
        <v>0</v>
      </c>
      <c r="T19" s="132">
        <f t="shared" si="1"/>
        <v>0</v>
      </c>
      <c r="U19" s="132">
        <f t="shared" si="1"/>
        <v>0</v>
      </c>
      <c r="V19" s="132">
        <f t="shared" si="1"/>
        <v>0</v>
      </c>
      <c r="W19" s="132">
        <f t="shared" si="1"/>
        <v>0</v>
      </c>
      <c r="X19" s="132">
        <f t="shared" si="3"/>
        <v>0</v>
      </c>
      <c r="Y19" s="104"/>
      <c r="AC19" s="521"/>
    </row>
    <row r="20" spans="1:215" outlineLevel="2" x14ac:dyDescent="0.2">
      <c r="A20" s="497">
        <v>1</v>
      </c>
      <c r="B20" s="127">
        <v>2</v>
      </c>
      <c r="C20" s="141" t="s">
        <v>180</v>
      </c>
      <c r="D20" s="128" t="s">
        <v>184</v>
      </c>
      <c r="E20" s="356">
        <v>1010202</v>
      </c>
      <c r="F20" s="130" t="s">
        <v>746</v>
      </c>
      <c r="G20" s="131" t="s">
        <v>105</v>
      </c>
      <c r="H20" s="133" t="s">
        <v>8</v>
      </c>
      <c r="I20" s="134" t="s">
        <v>68</v>
      </c>
      <c r="J20" s="134">
        <v>22</v>
      </c>
      <c r="K20" s="134"/>
      <c r="L20" s="134"/>
      <c r="M20" s="177"/>
      <c r="N20" s="302">
        <f t="shared" si="0"/>
        <v>22</v>
      </c>
      <c r="O20" s="142">
        <v>4797</v>
      </c>
      <c r="P20" s="142">
        <v>4797</v>
      </c>
      <c r="Q20" s="617">
        <v>4797</v>
      </c>
      <c r="R20" s="142">
        <v>4619</v>
      </c>
      <c r="S20" s="132">
        <f t="shared" si="2"/>
        <v>105534</v>
      </c>
      <c r="T20" s="132">
        <f t="shared" si="1"/>
        <v>105534</v>
      </c>
      <c r="U20" s="132">
        <f t="shared" si="1"/>
        <v>0</v>
      </c>
      <c r="V20" s="132">
        <f t="shared" si="1"/>
        <v>0</v>
      </c>
      <c r="W20" s="132">
        <f t="shared" si="1"/>
        <v>0</v>
      </c>
      <c r="X20" s="132">
        <f t="shared" si="3"/>
        <v>105534</v>
      </c>
      <c r="Y20" s="104"/>
      <c r="AC20" s="521"/>
    </row>
    <row r="21" spans="1:215" outlineLevel="2" x14ac:dyDescent="0.2">
      <c r="A21" s="495">
        <v>1</v>
      </c>
      <c r="B21" s="127">
        <v>2</v>
      </c>
      <c r="C21" s="129" t="s">
        <v>180</v>
      </c>
      <c r="D21" s="129" t="s">
        <v>185</v>
      </c>
      <c r="E21" s="356">
        <v>1010204</v>
      </c>
      <c r="F21" s="130" t="s">
        <v>746</v>
      </c>
      <c r="G21" s="143" t="s">
        <v>105</v>
      </c>
      <c r="H21" s="133" t="s">
        <v>8</v>
      </c>
      <c r="I21" s="134" t="s">
        <v>68</v>
      </c>
      <c r="J21" s="134">
        <v>17</v>
      </c>
      <c r="K21" s="134"/>
      <c r="L21" s="134"/>
      <c r="M21" s="177"/>
      <c r="N21" s="302">
        <f t="shared" si="0"/>
        <v>17</v>
      </c>
      <c r="O21" s="144">
        <v>4759</v>
      </c>
      <c r="P21" s="144">
        <v>4759</v>
      </c>
      <c r="Q21" s="618">
        <v>4759</v>
      </c>
      <c r="R21" s="144">
        <v>4583</v>
      </c>
      <c r="S21" s="132">
        <f t="shared" si="2"/>
        <v>80903</v>
      </c>
      <c r="T21" s="132">
        <f t="shared" si="1"/>
        <v>80903</v>
      </c>
      <c r="U21" s="132">
        <f t="shared" si="1"/>
        <v>0</v>
      </c>
      <c r="V21" s="132">
        <f t="shared" si="1"/>
        <v>0</v>
      </c>
      <c r="W21" s="132">
        <f t="shared" si="1"/>
        <v>0</v>
      </c>
      <c r="X21" s="132">
        <f t="shared" si="3"/>
        <v>80903</v>
      </c>
      <c r="Y21" s="104"/>
      <c r="AC21" s="521"/>
    </row>
    <row r="22" spans="1:215" ht="12.75" customHeight="1" outlineLevel="2" x14ac:dyDescent="0.2">
      <c r="A22" s="494">
        <v>1</v>
      </c>
      <c r="B22" s="127">
        <v>2</v>
      </c>
      <c r="C22" s="128" t="s">
        <v>180</v>
      </c>
      <c r="D22" s="129" t="s">
        <v>186</v>
      </c>
      <c r="E22" s="356">
        <v>1010205</v>
      </c>
      <c r="F22" s="130" t="s">
        <v>746</v>
      </c>
      <c r="G22" s="131" t="s">
        <v>105</v>
      </c>
      <c r="H22" s="133" t="s">
        <v>9</v>
      </c>
      <c r="I22" s="134" t="s">
        <v>504</v>
      </c>
      <c r="J22" s="134">
        <v>19</v>
      </c>
      <c r="K22" s="134"/>
      <c r="L22" s="134"/>
      <c r="M22" s="177"/>
      <c r="N22" s="302">
        <f t="shared" si="0"/>
        <v>19</v>
      </c>
      <c r="O22" s="142">
        <v>4239</v>
      </c>
      <c r="P22" s="142">
        <v>4239</v>
      </c>
      <c r="Q22" s="617">
        <v>4239</v>
      </c>
      <c r="R22" s="142">
        <v>3967</v>
      </c>
      <c r="S22" s="132">
        <f t="shared" si="2"/>
        <v>80541</v>
      </c>
      <c r="T22" s="132">
        <f t="shared" si="1"/>
        <v>80541</v>
      </c>
      <c r="U22" s="132">
        <f t="shared" si="1"/>
        <v>0</v>
      </c>
      <c r="V22" s="132">
        <f t="shared" si="1"/>
        <v>0</v>
      </c>
      <c r="W22" s="132">
        <f t="shared" si="1"/>
        <v>0</v>
      </c>
      <c r="X22" s="132">
        <f t="shared" si="3"/>
        <v>80541</v>
      </c>
      <c r="Y22" s="104"/>
      <c r="AC22" s="521"/>
    </row>
    <row r="23" spans="1:215" outlineLevel="2" x14ac:dyDescent="0.2">
      <c r="A23" s="494">
        <v>1</v>
      </c>
      <c r="B23" s="127">
        <v>2</v>
      </c>
      <c r="C23" s="128" t="s">
        <v>180</v>
      </c>
      <c r="D23" s="129" t="s">
        <v>187</v>
      </c>
      <c r="E23" s="356">
        <v>1010207</v>
      </c>
      <c r="F23" s="130" t="s">
        <v>746</v>
      </c>
      <c r="G23" s="131" t="s">
        <v>105</v>
      </c>
      <c r="H23" s="133" t="s">
        <v>21</v>
      </c>
      <c r="I23" s="134" t="s">
        <v>504</v>
      </c>
      <c r="J23" s="134"/>
      <c r="K23" s="134"/>
      <c r="L23" s="134"/>
      <c r="M23" s="177"/>
      <c r="N23" s="302">
        <f t="shared" si="0"/>
        <v>0</v>
      </c>
      <c r="O23" s="142">
        <v>446</v>
      </c>
      <c r="P23" s="142">
        <v>446</v>
      </c>
      <c r="Q23" s="617">
        <v>446</v>
      </c>
      <c r="R23" s="142">
        <v>417</v>
      </c>
      <c r="S23" s="132">
        <f t="shared" si="2"/>
        <v>0</v>
      </c>
      <c r="T23" s="132">
        <f t="shared" si="1"/>
        <v>0</v>
      </c>
      <c r="U23" s="132">
        <f t="shared" si="1"/>
        <v>0</v>
      </c>
      <c r="V23" s="132">
        <f t="shared" si="1"/>
        <v>0</v>
      </c>
      <c r="W23" s="132">
        <f t="shared" si="1"/>
        <v>0</v>
      </c>
      <c r="X23" s="132">
        <f t="shared" si="3"/>
        <v>0</v>
      </c>
      <c r="Y23" s="104"/>
      <c r="AC23" s="521"/>
    </row>
    <row r="24" spans="1:215" outlineLevel="2" x14ac:dyDescent="0.2">
      <c r="A24" s="494">
        <v>1</v>
      </c>
      <c r="B24" s="127">
        <v>2</v>
      </c>
      <c r="C24" s="128" t="s">
        <v>180</v>
      </c>
      <c r="D24" s="129" t="s">
        <v>188</v>
      </c>
      <c r="E24" s="356">
        <v>1010208</v>
      </c>
      <c r="F24" s="130" t="s">
        <v>746</v>
      </c>
      <c r="G24" s="131" t="s">
        <v>105</v>
      </c>
      <c r="H24" s="133" t="s">
        <v>21</v>
      </c>
      <c r="I24" s="134" t="s">
        <v>504</v>
      </c>
      <c r="J24" s="134"/>
      <c r="K24" s="134"/>
      <c r="L24" s="134"/>
      <c r="M24" s="177"/>
      <c r="N24" s="302">
        <f t="shared" si="0"/>
        <v>0</v>
      </c>
      <c r="O24" s="142">
        <v>446</v>
      </c>
      <c r="P24" s="142">
        <v>446</v>
      </c>
      <c r="Q24" s="617">
        <v>446</v>
      </c>
      <c r="R24" s="142">
        <v>417</v>
      </c>
      <c r="S24" s="132">
        <f t="shared" si="2"/>
        <v>0</v>
      </c>
      <c r="T24" s="132">
        <f t="shared" si="1"/>
        <v>0</v>
      </c>
      <c r="U24" s="132">
        <f t="shared" si="1"/>
        <v>0</v>
      </c>
      <c r="V24" s="132">
        <f t="shared" si="1"/>
        <v>0</v>
      </c>
      <c r="W24" s="132">
        <f t="shared" si="1"/>
        <v>0</v>
      </c>
      <c r="X24" s="132">
        <f t="shared" si="3"/>
        <v>0</v>
      </c>
      <c r="Y24" s="104"/>
      <c r="AC24" s="521"/>
    </row>
    <row r="25" spans="1:215" outlineLevel="2" x14ac:dyDescent="0.2">
      <c r="A25" s="495">
        <v>1</v>
      </c>
      <c r="B25" s="148">
        <v>3</v>
      </c>
      <c r="C25" s="129" t="s">
        <v>902</v>
      </c>
      <c r="D25" s="129" t="s">
        <v>903</v>
      </c>
      <c r="E25" s="184"/>
      <c r="F25" s="135" t="s">
        <v>792</v>
      </c>
      <c r="G25" s="135"/>
      <c r="H25" s="136" t="s">
        <v>8</v>
      </c>
      <c r="I25" s="134" t="s">
        <v>128</v>
      </c>
      <c r="J25" s="134">
        <v>151</v>
      </c>
      <c r="K25" s="134"/>
      <c r="L25" s="134"/>
      <c r="M25" s="177"/>
      <c r="N25" s="302">
        <f t="shared" ref="N25:N30" si="4">SUM(J25:M25)</f>
        <v>151</v>
      </c>
      <c r="O25" s="392">
        <v>4768</v>
      </c>
      <c r="P25" s="392">
        <v>4768</v>
      </c>
      <c r="Q25" s="616">
        <v>4768</v>
      </c>
      <c r="R25" s="392">
        <v>4629</v>
      </c>
      <c r="S25" s="132">
        <f t="shared" ref="S25:S28" si="5">SUMPRODUCT(J25:M25,O25:R25)</f>
        <v>719968</v>
      </c>
      <c r="T25" s="132">
        <f t="shared" ref="T25:T28" si="6">IF(O25&gt;prisgrense,J25*prisgrense,J25*O25)</f>
        <v>719968</v>
      </c>
      <c r="U25" s="132">
        <f t="shared" ref="U25:U28" si="7">IF(P25&gt;prisgrense,K25*prisgrense,K25*P25)</f>
        <v>0</v>
      </c>
      <c r="V25" s="132">
        <f t="shared" ref="V25:V28" si="8">IF(Q25&gt;prisgrense,L25*prisgrense,L25*Q25)</f>
        <v>0</v>
      </c>
      <c r="W25" s="132">
        <f t="shared" ref="W25:W28" si="9">IF(R25&gt;prisgrense,M25*prisgrense,M25*R25)</f>
        <v>0</v>
      </c>
      <c r="X25" s="132">
        <f t="shared" ref="X25:X28" si="10">SUM(T25:W25)</f>
        <v>719968</v>
      </c>
      <c r="Y25" s="139" t="s">
        <v>901</v>
      </c>
      <c r="AC25" s="521"/>
    </row>
    <row r="26" spans="1:215" outlineLevel="2" x14ac:dyDescent="0.2">
      <c r="A26" s="495">
        <v>1</v>
      </c>
      <c r="B26" s="148">
        <v>3</v>
      </c>
      <c r="C26" s="129" t="s">
        <v>902</v>
      </c>
      <c r="D26" s="129" t="s">
        <v>904</v>
      </c>
      <c r="E26" s="184"/>
      <c r="F26" s="135" t="s">
        <v>792</v>
      </c>
      <c r="G26" s="135"/>
      <c r="H26" s="136" t="s">
        <v>8</v>
      </c>
      <c r="I26" s="134" t="s">
        <v>168</v>
      </c>
      <c r="J26" s="134">
        <v>212</v>
      </c>
      <c r="K26" s="134"/>
      <c r="L26" s="134"/>
      <c r="M26" s="177"/>
      <c r="N26" s="302">
        <f t="shared" si="4"/>
        <v>212</v>
      </c>
      <c r="O26" s="392">
        <v>4735</v>
      </c>
      <c r="P26" s="392">
        <v>4735</v>
      </c>
      <c r="Q26" s="616">
        <v>4735</v>
      </c>
      <c r="R26" s="392">
        <v>4735</v>
      </c>
      <c r="S26" s="132">
        <f t="shared" si="5"/>
        <v>1003820</v>
      </c>
      <c r="T26" s="132">
        <f t="shared" si="6"/>
        <v>1003820</v>
      </c>
      <c r="U26" s="132">
        <f t="shared" si="7"/>
        <v>0</v>
      </c>
      <c r="V26" s="132">
        <f t="shared" si="8"/>
        <v>0</v>
      </c>
      <c r="W26" s="132">
        <f t="shared" si="9"/>
        <v>0</v>
      </c>
      <c r="X26" s="132">
        <f t="shared" si="10"/>
        <v>1003820</v>
      </c>
      <c r="Y26" s="139" t="s">
        <v>901</v>
      </c>
      <c r="AC26" s="521"/>
    </row>
    <row r="27" spans="1:215" outlineLevel="2" x14ac:dyDescent="0.2">
      <c r="A27" s="495">
        <v>1</v>
      </c>
      <c r="B27" s="148">
        <v>3</v>
      </c>
      <c r="C27" s="129" t="s">
        <v>902</v>
      </c>
      <c r="D27" s="129" t="s">
        <v>905</v>
      </c>
      <c r="E27" s="184"/>
      <c r="F27" s="135" t="s">
        <v>792</v>
      </c>
      <c r="G27" s="135"/>
      <c r="H27" s="136" t="s">
        <v>8</v>
      </c>
      <c r="I27" s="134" t="s">
        <v>68</v>
      </c>
      <c r="J27" s="134">
        <v>3234</v>
      </c>
      <c r="K27" s="134"/>
      <c r="L27" s="134"/>
      <c r="M27" s="177"/>
      <c r="N27" s="302">
        <f t="shared" si="4"/>
        <v>3234</v>
      </c>
      <c r="O27" s="392">
        <v>4735</v>
      </c>
      <c r="P27" s="392">
        <v>4735</v>
      </c>
      <c r="Q27" s="616">
        <v>4735</v>
      </c>
      <c r="R27" s="392">
        <v>4735</v>
      </c>
      <c r="S27" s="132">
        <f t="shared" si="5"/>
        <v>15312990</v>
      </c>
      <c r="T27" s="132">
        <f t="shared" si="6"/>
        <v>15312990</v>
      </c>
      <c r="U27" s="132">
        <f t="shared" si="7"/>
        <v>0</v>
      </c>
      <c r="V27" s="132">
        <f t="shared" si="8"/>
        <v>0</v>
      </c>
      <c r="W27" s="132">
        <f t="shared" si="9"/>
        <v>0</v>
      </c>
      <c r="X27" s="132">
        <f t="shared" si="10"/>
        <v>15312990</v>
      </c>
      <c r="Y27" s="139" t="s">
        <v>901</v>
      </c>
      <c r="AC27" s="521"/>
    </row>
    <row r="28" spans="1:215" outlineLevel="2" x14ac:dyDescent="0.2">
      <c r="A28" s="495">
        <v>1</v>
      </c>
      <c r="B28" s="148">
        <v>3</v>
      </c>
      <c r="C28" s="129" t="s">
        <v>902</v>
      </c>
      <c r="D28" s="129" t="s">
        <v>906</v>
      </c>
      <c r="E28" s="184"/>
      <c r="F28" s="135" t="s">
        <v>792</v>
      </c>
      <c r="G28" s="135"/>
      <c r="H28" s="136" t="s">
        <v>8</v>
      </c>
      <c r="I28" s="134" t="s">
        <v>68</v>
      </c>
      <c r="J28" s="134">
        <v>248</v>
      </c>
      <c r="K28" s="134"/>
      <c r="L28" s="134"/>
      <c r="M28" s="177"/>
      <c r="N28" s="302">
        <f t="shared" si="4"/>
        <v>248</v>
      </c>
      <c r="O28" s="392">
        <v>4773</v>
      </c>
      <c r="P28" s="392">
        <v>4773</v>
      </c>
      <c r="Q28" s="616">
        <v>4773</v>
      </c>
      <c r="R28" s="392">
        <v>4634</v>
      </c>
      <c r="S28" s="132">
        <f t="shared" si="5"/>
        <v>1183704</v>
      </c>
      <c r="T28" s="132">
        <f t="shared" si="6"/>
        <v>1183704</v>
      </c>
      <c r="U28" s="132">
        <f t="shared" si="7"/>
        <v>0</v>
      </c>
      <c r="V28" s="132">
        <f t="shared" si="8"/>
        <v>0</v>
      </c>
      <c r="W28" s="132">
        <f t="shared" si="9"/>
        <v>0</v>
      </c>
      <c r="X28" s="132">
        <f t="shared" si="10"/>
        <v>1183704</v>
      </c>
      <c r="Y28" s="139" t="s">
        <v>901</v>
      </c>
      <c r="AC28" s="521"/>
    </row>
    <row r="29" spans="1:215" s="152" customFormat="1" outlineLevel="2" x14ac:dyDescent="0.2">
      <c r="A29" s="495">
        <v>1</v>
      </c>
      <c r="B29" s="138">
        <v>3</v>
      </c>
      <c r="C29" s="129" t="s">
        <v>902</v>
      </c>
      <c r="D29" s="129" t="s">
        <v>954</v>
      </c>
      <c r="E29" s="184"/>
      <c r="F29" s="135" t="s">
        <v>792</v>
      </c>
      <c r="G29" s="135"/>
      <c r="H29" s="135" t="s">
        <v>9</v>
      </c>
      <c r="I29" s="129" t="s">
        <v>504</v>
      </c>
      <c r="J29" s="129">
        <v>241</v>
      </c>
      <c r="K29" s="129"/>
      <c r="L29" s="129"/>
      <c r="M29" s="141"/>
      <c r="N29" s="302">
        <f t="shared" si="4"/>
        <v>241</v>
      </c>
      <c r="O29" s="392">
        <v>4660</v>
      </c>
      <c r="P29" s="392">
        <v>4660</v>
      </c>
      <c r="Q29" s="616">
        <v>4660</v>
      </c>
      <c r="R29" s="392">
        <v>4524</v>
      </c>
      <c r="S29" s="132">
        <f t="shared" ref="S29:S30" si="11">SUMPRODUCT(J29:M29,O29:R29)</f>
        <v>1123060</v>
      </c>
      <c r="T29" s="132">
        <f t="shared" ref="T29:T30" si="12">IF(O29&gt;prisgrense,J29*prisgrense,J29*O29)</f>
        <v>1123060</v>
      </c>
      <c r="U29" s="132">
        <f t="shared" ref="U29:U30" si="13">IF(P29&gt;prisgrense,K29*prisgrense,K29*P29)</f>
        <v>0</v>
      </c>
      <c r="V29" s="132">
        <f t="shared" ref="V29:V30" si="14">IF(Q29&gt;prisgrense,L29*prisgrense,L29*Q29)</f>
        <v>0</v>
      </c>
      <c r="W29" s="132">
        <f t="shared" ref="W29:W30" si="15">IF(R29&gt;prisgrense,M29*prisgrense,M29*R29)</f>
        <v>0</v>
      </c>
      <c r="X29" s="132">
        <f t="shared" ref="X29:X30" si="16">SUM(T29:W29)</f>
        <v>1123060</v>
      </c>
      <c r="Y29" s="157" t="s">
        <v>956</v>
      </c>
      <c r="Z29" s="395"/>
      <c r="AC29" s="559"/>
    </row>
    <row r="30" spans="1:215" s="152" customFormat="1" outlineLevel="2" x14ac:dyDescent="0.2">
      <c r="A30" s="495">
        <v>1</v>
      </c>
      <c r="B30" s="138">
        <v>3</v>
      </c>
      <c r="C30" s="129" t="s">
        <v>902</v>
      </c>
      <c r="D30" s="129" t="s">
        <v>955</v>
      </c>
      <c r="E30" s="184"/>
      <c r="F30" s="135" t="s">
        <v>792</v>
      </c>
      <c r="G30" s="135"/>
      <c r="H30" s="135" t="s">
        <v>21</v>
      </c>
      <c r="I30" s="129" t="s">
        <v>504</v>
      </c>
      <c r="J30" s="129">
        <v>83</v>
      </c>
      <c r="K30" s="129"/>
      <c r="L30" s="129"/>
      <c r="M30" s="141"/>
      <c r="N30" s="302">
        <f t="shared" si="4"/>
        <v>83</v>
      </c>
      <c r="O30" s="392">
        <v>4660</v>
      </c>
      <c r="P30" s="392">
        <v>4660</v>
      </c>
      <c r="Q30" s="616">
        <v>4660</v>
      </c>
      <c r="R30" s="392">
        <v>4524</v>
      </c>
      <c r="S30" s="132">
        <f t="shared" si="11"/>
        <v>386780</v>
      </c>
      <c r="T30" s="132">
        <f t="shared" si="12"/>
        <v>386780</v>
      </c>
      <c r="U30" s="132">
        <f t="shared" si="13"/>
        <v>0</v>
      </c>
      <c r="V30" s="132">
        <f t="shared" si="14"/>
        <v>0</v>
      </c>
      <c r="W30" s="132">
        <f t="shared" si="15"/>
        <v>0</v>
      </c>
      <c r="X30" s="132">
        <f t="shared" si="16"/>
        <v>386780</v>
      </c>
      <c r="Y30" s="157" t="s">
        <v>956</v>
      </c>
      <c r="Z30" s="395"/>
      <c r="AC30" s="559"/>
    </row>
    <row r="31" spans="1:215" outlineLevel="2" x14ac:dyDescent="0.2">
      <c r="A31" s="495">
        <v>1</v>
      </c>
      <c r="B31" s="148">
        <v>4</v>
      </c>
      <c r="C31" s="129" t="s">
        <v>193</v>
      </c>
      <c r="D31" s="129" t="s">
        <v>194</v>
      </c>
      <c r="E31" s="184">
        <v>1011131</v>
      </c>
      <c r="F31" s="135" t="s">
        <v>792</v>
      </c>
      <c r="G31" s="143" t="s">
        <v>104</v>
      </c>
      <c r="H31" s="136" t="s">
        <v>8</v>
      </c>
      <c r="I31" s="134" t="s">
        <v>168</v>
      </c>
      <c r="J31" s="134"/>
      <c r="K31" s="134"/>
      <c r="L31" s="134"/>
      <c r="M31" s="177"/>
      <c r="N31" s="302">
        <f t="shared" si="0"/>
        <v>0</v>
      </c>
      <c r="O31" s="392">
        <v>4603</v>
      </c>
      <c r="P31" s="392">
        <v>4603</v>
      </c>
      <c r="Q31" s="616">
        <v>4603</v>
      </c>
      <c r="R31" s="392">
        <v>4469</v>
      </c>
      <c r="S31" s="132">
        <f t="shared" si="2"/>
        <v>0</v>
      </c>
      <c r="T31" s="132">
        <f t="shared" si="1"/>
        <v>0</v>
      </c>
      <c r="U31" s="132">
        <f t="shared" si="1"/>
        <v>0</v>
      </c>
      <c r="V31" s="132">
        <f t="shared" si="1"/>
        <v>0</v>
      </c>
      <c r="W31" s="132">
        <f t="shared" si="1"/>
        <v>0</v>
      </c>
      <c r="X31" s="132">
        <f t="shared" si="3"/>
        <v>0</v>
      </c>
      <c r="Z31" s="394"/>
      <c r="AA31" s="139"/>
      <c r="AB31" s="139"/>
      <c r="AC31" s="521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  <c r="FL31" s="139"/>
      <c r="FM31" s="139"/>
      <c r="FN31" s="139"/>
      <c r="FO31" s="139"/>
      <c r="FP31" s="139"/>
      <c r="FQ31" s="139"/>
      <c r="FR31" s="139"/>
      <c r="FS31" s="139"/>
      <c r="FT31" s="139"/>
      <c r="FU31" s="139"/>
      <c r="FV31" s="139"/>
      <c r="FW31" s="139"/>
      <c r="FX31" s="139"/>
      <c r="FY31" s="139"/>
      <c r="FZ31" s="139"/>
      <c r="GA31" s="139"/>
      <c r="GB31" s="139"/>
      <c r="GC31" s="139"/>
      <c r="GD31" s="139"/>
      <c r="GE31" s="139"/>
      <c r="GF31" s="139"/>
      <c r="GG31" s="139"/>
      <c r="GH31" s="139"/>
      <c r="GI31" s="139"/>
      <c r="GJ31" s="139"/>
      <c r="GK31" s="139"/>
      <c r="GL31" s="139"/>
      <c r="GM31" s="139"/>
      <c r="GN31" s="139"/>
      <c r="GO31" s="139"/>
      <c r="GP31" s="139"/>
      <c r="GQ31" s="139"/>
      <c r="GR31" s="139"/>
      <c r="GS31" s="139"/>
      <c r="GT31" s="139"/>
      <c r="GU31" s="139"/>
      <c r="GV31" s="139"/>
      <c r="GW31" s="139"/>
      <c r="GX31" s="139"/>
      <c r="GY31" s="139"/>
      <c r="GZ31" s="139"/>
      <c r="HA31" s="139"/>
      <c r="HB31" s="139"/>
      <c r="HC31" s="139"/>
      <c r="HD31" s="139"/>
      <c r="HE31" s="139"/>
      <c r="HF31" s="139"/>
      <c r="HG31" s="139"/>
    </row>
    <row r="32" spans="1:215" outlineLevel="2" x14ac:dyDescent="0.2">
      <c r="A32" s="495">
        <v>1</v>
      </c>
      <c r="B32" s="148">
        <v>4</v>
      </c>
      <c r="C32" s="129" t="s">
        <v>193</v>
      </c>
      <c r="D32" s="129" t="s">
        <v>195</v>
      </c>
      <c r="E32" s="184">
        <v>1011132</v>
      </c>
      <c r="F32" s="135" t="s">
        <v>792</v>
      </c>
      <c r="G32" s="135" t="s">
        <v>104</v>
      </c>
      <c r="H32" s="136" t="s">
        <v>8</v>
      </c>
      <c r="I32" s="134" t="s">
        <v>168</v>
      </c>
      <c r="J32" s="134"/>
      <c r="K32" s="134"/>
      <c r="L32" s="134"/>
      <c r="M32" s="177"/>
      <c r="N32" s="302">
        <f t="shared" si="0"/>
        <v>0</v>
      </c>
      <c r="O32" s="392">
        <v>4603</v>
      </c>
      <c r="P32" s="392">
        <v>4603</v>
      </c>
      <c r="Q32" s="616">
        <v>4603</v>
      </c>
      <c r="R32" s="392">
        <v>4469</v>
      </c>
      <c r="S32" s="132">
        <f t="shared" si="2"/>
        <v>0</v>
      </c>
      <c r="T32" s="132">
        <f t="shared" si="1"/>
        <v>0</v>
      </c>
      <c r="U32" s="132">
        <f t="shared" si="1"/>
        <v>0</v>
      </c>
      <c r="V32" s="132">
        <f t="shared" si="1"/>
        <v>0</v>
      </c>
      <c r="W32" s="132">
        <f t="shared" si="1"/>
        <v>0</v>
      </c>
      <c r="X32" s="132">
        <f t="shared" si="3"/>
        <v>0</v>
      </c>
      <c r="Y32" s="104"/>
      <c r="AC32" s="521"/>
    </row>
    <row r="33" spans="1:215" outlineLevel="2" x14ac:dyDescent="0.2">
      <c r="A33" s="495">
        <v>1</v>
      </c>
      <c r="B33" s="148">
        <v>4</v>
      </c>
      <c r="C33" s="129" t="s">
        <v>193</v>
      </c>
      <c r="D33" s="129" t="s">
        <v>196</v>
      </c>
      <c r="E33" s="184">
        <v>1011134</v>
      </c>
      <c r="F33" s="135" t="s">
        <v>792</v>
      </c>
      <c r="G33" s="135" t="s">
        <v>104</v>
      </c>
      <c r="H33" s="136" t="s">
        <v>8</v>
      </c>
      <c r="I33" s="134" t="s">
        <v>68</v>
      </c>
      <c r="J33" s="134"/>
      <c r="K33" s="134"/>
      <c r="L33" s="134"/>
      <c r="M33" s="177"/>
      <c r="N33" s="302">
        <f t="shared" si="0"/>
        <v>0</v>
      </c>
      <c r="O33" s="392">
        <v>4603</v>
      </c>
      <c r="P33" s="392">
        <v>4603</v>
      </c>
      <c r="Q33" s="616">
        <v>4603</v>
      </c>
      <c r="R33" s="392">
        <v>4469</v>
      </c>
      <c r="S33" s="132">
        <f t="shared" si="2"/>
        <v>0</v>
      </c>
      <c r="T33" s="132">
        <f t="shared" si="1"/>
        <v>0</v>
      </c>
      <c r="U33" s="132">
        <f t="shared" si="1"/>
        <v>0</v>
      </c>
      <c r="V33" s="132">
        <f t="shared" si="1"/>
        <v>0</v>
      </c>
      <c r="W33" s="132">
        <f t="shared" si="1"/>
        <v>0</v>
      </c>
      <c r="X33" s="132">
        <f t="shared" si="3"/>
        <v>0</v>
      </c>
      <c r="Y33" s="104"/>
      <c r="AC33" s="521"/>
    </row>
    <row r="34" spans="1:215" outlineLevel="2" x14ac:dyDescent="0.2">
      <c r="A34" s="495">
        <v>1</v>
      </c>
      <c r="B34" s="127">
        <v>4</v>
      </c>
      <c r="C34" s="129" t="s">
        <v>193</v>
      </c>
      <c r="D34" s="129" t="s">
        <v>197</v>
      </c>
      <c r="E34" s="184">
        <v>1011133</v>
      </c>
      <c r="F34" s="135" t="s">
        <v>792</v>
      </c>
      <c r="G34" s="135" t="s">
        <v>104</v>
      </c>
      <c r="H34" s="136" t="s">
        <v>8</v>
      </c>
      <c r="I34" s="134" t="s">
        <v>68</v>
      </c>
      <c r="J34" s="134"/>
      <c r="K34" s="134"/>
      <c r="L34" s="134"/>
      <c r="M34" s="177"/>
      <c r="N34" s="302">
        <f t="shared" si="0"/>
        <v>0</v>
      </c>
      <c r="O34" s="392">
        <v>4603</v>
      </c>
      <c r="P34" s="392">
        <v>4603</v>
      </c>
      <c r="Q34" s="616">
        <v>4603</v>
      </c>
      <c r="R34" s="392">
        <v>4469</v>
      </c>
      <c r="S34" s="132">
        <f t="shared" si="2"/>
        <v>0</v>
      </c>
      <c r="T34" s="132">
        <f t="shared" si="1"/>
        <v>0</v>
      </c>
      <c r="U34" s="132">
        <f t="shared" si="1"/>
        <v>0</v>
      </c>
      <c r="V34" s="132">
        <f t="shared" si="1"/>
        <v>0</v>
      </c>
      <c r="W34" s="132">
        <f t="shared" si="1"/>
        <v>0</v>
      </c>
      <c r="X34" s="132">
        <f t="shared" si="3"/>
        <v>0</v>
      </c>
      <c r="Y34" s="104"/>
      <c r="AC34" s="521"/>
    </row>
    <row r="35" spans="1:215" outlineLevel="2" x14ac:dyDescent="0.2">
      <c r="A35" s="495">
        <v>1</v>
      </c>
      <c r="B35" s="127">
        <v>4</v>
      </c>
      <c r="C35" s="129" t="s">
        <v>193</v>
      </c>
      <c r="D35" s="129" t="s">
        <v>198</v>
      </c>
      <c r="E35" s="184">
        <v>1021132</v>
      </c>
      <c r="F35" s="135" t="s">
        <v>792</v>
      </c>
      <c r="G35" s="135" t="s">
        <v>104</v>
      </c>
      <c r="H35" s="136" t="s">
        <v>9</v>
      </c>
      <c r="I35" s="134" t="s">
        <v>504</v>
      </c>
      <c r="J35" s="134"/>
      <c r="K35" s="134"/>
      <c r="L35" s="134"/>
      <c r="M35" s="177"/>
      <c r="N35" s="302">
        <f t="shared" si="0"/>
        <v>0</v>
      </c>
      <c r="O35" s="392">
        <v>4092</v>
      </c>
      <c r="P35" s="392">
        <v>4092</v>
      </c>
      <c r="Q35" s="616">
        <v>4092</v>
      </c>
      <c r="R35" s="392">
        <v>3973</v>
      </c>
      <c r="S35" s="132">
        <f t="shared" si="2"/>
        <v>0</v>
      </c>
      <c r="T35" s="132">
        <f t="shared" si="1"/>
        <v>0</v>
      </c>
      <c r="U35" s="132">
        <f t="shared" si="1"/>
        <v>0</v>
      </c>
      <c r="V35" s="132">
        <f t="shared" si="1"/>
        <v>0</v>
      </c>
      <c r="W35" s="132">
        <f t="shared" si="1"/>
        <v>0</v>
      </c>
      <c r="X35" s="132">
        <f t="shared" si="3"/>
        <v>0</v>
      </c>
      <c r="Y35" s="104"/>
      <c r="AC35" s="521"/>
    </row>
    <row r="36" spans="1:215" outlineLevel="2" x14ac:dyDescent="0.2">
      <c r="A36" s="495">
        <v>1</v>
      </c>
      <c r="B36" s="127">
        <v>4</v>
      </c>
      <c r="C36" s="129" t="s">
        <v>193</v>
      </c>
      <c r="D36" s="129" t="s">
        <v>199</v>
      </c>
      <c r="E36" s="184">
        <v>1021139</v>
      </c>
      <c r="F36" s="135" t="s">
        <v>792</v>
      </c>
      <c r="G36" s="135" t="s">
        <v>104</v>
      </c>
      <c r="H36" s="136" t="s">
        <v>21</v>
      </c>
      <c r="I36" s="134" t="s">
        <v>504</v>
      </c>
      <c r="J36" s="134"/>
      <c r="K36" s="134"/>
      <c r="L36" s="134"/>
      <c r="M36" s="177"/>
      <c r="N36" s="302">
        <f t="shared" si="0"/>
        <v>0</v>
      </c>
      <c r="O36" s="392">
        <v>4092</v>
      </c>
      <c r="P36" s="392">
        <v>4092</v>
      </c>
      <c r="Q36" s="616">
        <v>4092</v>
      </c>
      <c r="R36" s="392">
        <v>3973</v>
      </c>
      <c r="S36" s="132">
        <f t="shared" si="2"/>
        <v>0</v>
      </c>
      <c r="T36" s="132">
        <f t="shared" si="1"/>
        <v>0</v>
      </c>
      <c r="U36" s="132">
        <f t="shared" si="1"/>
        <v>0</v>
      </c>
      <c r="V36" s="132">
        <f t="shared" si="1"/>
        <v>0</v>
      </c>
      <c r="W36" s="132">
        <f t="shared" si="1"/>
        <v>0</v>
      </c>
      <c r="X36" s="132">
        <f t="shared" si="3"/>
        <v>0</v>
      </c>
      <c r="Y36" s="104"/>
      <c r="AC36" s="521"/>
    </row>
    <row r="37" spans="1:215" ht="14.25" outlineLevel="2" x14ac:dyDescent="0.2">
      <c r="A37" s="495">
        <v>1</v>
      </c>
      <c r="B37" s="127">
        <v>5</v>
      </c>
      <c r="C37" s="129" t="s">
        <v>683</v>
      </c>
      <c r="D37" s="129" t="s">
        <v>153</v>
      </c>
      <c r="E37" s="184">
        <v>18929000</v>
      </c>
      <c r="F37" s="130" t="s">
        <v>817</v>
      </c>
      <c r="G37" s="143" t="s">
        <v>58</v>
      </c>
      <c r="H37" s="133" t="s">
        <v>8</v>
      </c>
      <c r="I37" s="134" t="s">
        <v>168</v>
      </c>
      <c r="J37" s="134">
        <v>19</v>
      </c>
      <c r="K37" s="134"/>
      <c r="L37" s="134"/>
      <c r="M37" s="177"/>
      <c r="N37" s="302">
        <f t="shared" si="0"/>
        <v>19</v>
      </c>
      <c r="O37" s="149">
        <v>4851</v>
      </c>
      <c r="P37" s="149">
        <v>4851</v>
      </c>
      <c r="Q37" s="619">
        <v>4851</v>
      </c>
      <c r="R37" s="149">
        <v>4710</v>
      </c>
      <c r="S37" s="132">
        <f t="shared" si="2"/>
        <v>92169</v>
      </c>
      <c r="T37" s="132">
        <f t="shared" si="1"/>
        <v>91808</v>
      </c>
      <c r="U37" s="132">
        <f t="shared" si="1"/>
        <v>0</v>
      </c>
      <c r="V37" s="132">
        <f t="shared" si="1"/>
        <v>0</v>
      </c>
      <c r="W37" s="132">
        <f t="shared" si="1"/>
        <v>0</v>
      </c>
      <c r="X37" s="132">
        <f t="shared" si="3"/>
        <v>91808</v>
      </c>
      <c r="Y37" s="104"/>
      <c r="AC37" s="521"/>
    </row>
    <row r="38" spans="1:215" s="139" customFormat="1" ht="14.25" outlineLevel="2" x14ac:dyDescent="0.2">
      <c r="A38" s="495">
        <v>1</v>
      </c>
      <c r="B38" s="127">
        <v>5</v>
      </c>
      <c r="C38" s="129" t="s">
        <v>683</v>
      </c>
      <c r="D38" s="129" t="s">
        <v>154</v>
      </c>
      <c r="E38" s="184">
        <v>19078800</v>
      </c>
      <c r="F38" s="130" t="s">
        <v>817</v>
      </c>
      <c r="G38" s="143" t="s">
        <v>58</v>
      </c>
      <c r="H38" s="133" t="s">
        <v>8</v>
      </c>
      <c r="I38" s="134" t="s">
        <v>68</v>
      </c>
      <c r="J38" s="134">
        <v>65</v>
      </c>
      <c r="K38" s="134"/>
      <c r="L38" s="134"/>
      <c r="M38" s="177"/>
      <c r="N38" s="302">
        <f t="shared" si="0"/>
        <v>65</v>
      </c>
      <c r="O38" s="149">
        <v>4851</v>
      </c>
      <c r="P38" s="149">
        <v>4851</v>
      </c>
      <c r="Q38" s="619">
        <v>4851</v>
      </c>
      <c r="R38" s="149">
        <v>4710</v>
      </c>
      <c r="S38" s="132">
        <f t="shared" si="2"/>
        <v>315315</v>
      </c>
      <c r="T38" s="132">
        <f t="shared" si="1"/>
        <v>314080</v>
      </c>
      <c r="U38" s="132">
        <f t="shared" si="1"/>
        <v>0</v>
      </c>
      <c r="V38" s="132">
        <f t="shared" si="1"/>
        <v>0</v>
      </c>
      <c r="W38" s="132">
        <f t="shared" si="1"/>
        <v>0</v>
      </c>
      <c r="X38" s="132">
        <f t="shared" si="3"/>
        <v>314080</v>
      </c>
      <c r="Y38" s="104"/>
      <c r="Z38" s="393"/>
      <c r="AA38" s="104"/>
      <c r="AB38" s="104"/>
      <c r="AC38" s="521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</row>
    <row r="39" spans="1:215" ht="14.25" outlineLevel="2" x14ac:dyDescent="0.2">
      <c r="A39" s="495">
        <v>1</v>
      </c>
      <c r="B39" s="127">
        <v>5</v>
      </c>
      <c r="C39" s="129" t="s">
        <v>683</v>
      </c>
      <c r="D39" s="129" t="s">
        <v>200</v>
      </c>
      <c r="E39" s="184">
        <v>20205000</v>
      </c>
      <c r="F39" s="130" t="s">
        <v>817</v>
      </c>
      <c r="G39" s="143" t="s">
        <v>58</v>
      </c>
      <c r="H39" s="136" t="s">
        <v>9</v>
      </c>
      <c r="I39" s="134" t="s">
        <v>504</v>
      </c>
      <c r="J39" s="134"/>
      <c r="K39" s="134"/>
      <c r="L39" s="134"/>
      <c r="M39" s="177"/>
      <c r="N39" s="302">
        <f t="shared" si="0"/>
        <v>0</v>
      </c>
      <c r="O39" s="149">
        <v>1623</v>
      </c>
      <c r="P39" s="149">
        <v>1623</v>
      </c>
      <c r="Q39" s="619">
        <v>1623</v>
      </c>
      <c r="R39" s="149">
        <v>1576</v>
      </c>
      <c r="S39" s="132">
        <f t="shared" si="2"/>
        <v>0</v>
      </c>
      <c r="T39" s="132">
        <f t="shared" si="1"/>
        <v>0</v>
      </c>
      <c r="U39" s="132">
        <f t="shared" si="1"/>
        <v>0</v>
      </c>
      <c r="V39" s="132">
        <f t="shared" si="1"/>
        <v>0</v>
      </c>
      <c r="W39" s="132">
        <f t="shared" si="1"/>
        <v>0</v>
      </c>
      <c r="X39" s="132">
        <f t="shared" si="3"/>
        <v>0</v>
      </c>
      <c r="Y39" s="104"/>
      <c r="AC39" s="521"/>
    </row>
    <row r="40" spans="1:215" ht="14.25" outlineLevel="2" x14ac:dyDescent="0.2">
      <c r="A40" s="495">
        <v>1</v>
      </c>
      <c r="B40" s="127">
        <v>5</v>
      </c>
      <c r="C40" s="129" t="s">
        <v>683</v>
      </c>
      <c r="D40" s="129" t="s">
        <v>201</v>
      </c>
      <c r="E40" s="184">
        <v>20200900</v>
      </c>
      <c r="F40" s="130" t="s">
        <v>817</v>
      </c>
      <c r="G40" s="143" t="s">
        <v>58</v>
      </c>
      <c r="H40" s="136" t="s">
        <v>1004</v>
      </c>
      <c r="I40" s="134" t="s">
        <v>504</v>
      </c>
      <c r="J40" s="134">
        <v>1</v>
      </c>
      <c r="K40" s="134"/>
      <c r="L40" s="134"/>
      <c r="M40" s="177"/>
      <c r="N40" s="302">
        <f t="shared" si="0"/>
        <v>1</v>
      </c>
      <c r="O40" s="149">
        <v>1623</v>
      </c>
      <c r="P40" s="149">
        <v>1623</v>
      </c>
      <c r="Q40" s="619">
        <v>1623</v>
      </c>
      <c r="R40" s="149">
        <v>1576</v>
      </c>
      <c r="S40" s="132">
        <f t="shared" si="2"/>
        <v>1623</v>
      </c>
      <c r="T40" s="132">
        <f t="shared" si="1"/>
        <v>1623</v>
      </c>
      <c r="U40" s="132">
        <f t="shared" si="1"/>
        <v>0</v>
      </c>
      <c r="V40" s="132">
        <f t="shared" si="1"/>
        <v>0</v>
      </c>
      <c r="W40" s="132">
        <f t="shared" si="1"/>
        <v>0</v>
      </c>
      <c r="X40" s="132">
        <f t="shared" si="3"/>
        <v>1623</v>
      </c>
      <c r="Y40" s="104"/>
      <c r="AC40" s="521"/>
    </row>
    <row r="41" spans="1:215" outlineLevel="2" x14ac:dyDescent="0.2">
      <c r="A41" s="495">
        <v>1</v>
      </c>
      <c r="B41" s="127">
        <v>6</v>
      </c>
      <c r="C41" s="129" t="s">
        <v>667</v>
      </c>
      <c r="D41" s="129" t="s">
        <v>536</v>
      </c>
      <c r="E41" s="184" t="s">
        <v>537</v>
      </c>
      <c r="F41" s="130" t="s">
        <v>607</v>
      </c>
      <c r="G41" s="135" t="s">
        <v>103</v>
      </c>
      <c r="H41" s="136" t="s">
        <v>8</v>
      </c>
      <c r="I41" s="134" t="s">
        <v>168</v>
      </c>
      <c r="J41" s="134">
        <v>10</v>
      </c>
      <c r="K41" s="129"/>
      <c r="L41" s="129"/>
      <c r="M41" s="141"/>
      <c r="N41" s="302">
        <f t="shared" si="0"/>
        <v>10</v>
      </c>
      <c r="O41" s="151">
        <v>4544</v>
      </c>
      <c r="P41" s="151">
        <v>4544</v>
      </c>
      <c r="Q41" s="620">
        <v>4544</v>
      </c>
      <c r="R41" s="151">
        <v>4412</v>
      </c>
      <c r="S41" s="132">
        <f t="shared" ref="S41:S48" si="17">SUMPRODUCT(J41:M41,O41:R41)</f>
        <v>45440</v>
      </c>
      <c r="T41" s="132">
        <f t="shared" ref="T41:T48" si="18">IF(O41&gt;prisgrense,J41*prisgrense,J41*O41)</f>
        <v>45440</v>
      </c>
      <c r="U41" s="132">
        <f t="shared" ref="U41:U48" si="19">IF(P41&gt;prisgrense,K41*prisgrense,K41*P41)</f>
        <v>0</v>
      </c>
      <c r="V41" s="132">
        <f t="shared" ref="V41:V48" si="20">IF(Q41&gt;prisgrense,L41*prisgrense,L41*Q41)</f>
        <v>0</v>
      </c>
      <c r="W41" s="132">
        <f t="shared" ref="W41:W48" si="21">IF(R41&gt;prisgrense,M41*prisgrense,M41*R41)</f>
        <v>0</v>
      </c>
      <c r="X41" s="132">
        <f t="shared" ref="X41:X48" si="22">SUM(T41:W41)</f>
        <v>45440</v>
      </c>
      <c r="Y41" s="139" t="s">
        <v>671</v>
      </c>
      <c r="AC41" s="521"/>
    </row>
    <row r="42" spans="1:215" outlineLevel="2" x14ac:dyDescent="0.2">
      <c r="A42" s="495">
        <v>1</v>
      </c>
      <c r="B42" s="127">
        <v>6</v>
      </c>
      <c r="C42" s="129" t="s">
        <v>667</v>
      </c>
      <c r="D42" s="129" t="s">
        <v>555</v>
      </c>
      <c r="E42" s="184" t="s">
        <v>556</v>
      </c>
      <c r="F42" s="130" t="s">
        <v>607</v>
      </c>
      <c r="G42" s="135" t="s">
        <v>103</v>
      </c>
      <c r="H42" s="136" t="s">
        <v>8</v>
      </c>
      <c r="I42" s="134" t="s">
        <v>168</v>
      </c>
      <c r="J42" s="134">
        <v>16</v>
      </c>
      <c r="K42" s="129"/>
      <c r="L42" s="129"/>
      <c r="M42" s="141"/>
      <c r="N42" s="302">
        <f t="shared" si="0"/>
        <v>16</v>
      </c>
      <c r="O42" s="151">
        <v>4544</v>
      </c>
      <c r="P42" s="151">
        <v>4544</v>
      </c>
      <c r="Q42" s="620">
        <v>4544</v>
      </c>
      <c r="R42" s="151">
        <v>4412</v>
      </c>
      <c r="S42" s="132">
        <f t="shared" si="17"/>
        <v>72704</v>
      </c>
      <c r="T42" s="132">
        <f t="shared" si="18"/>
        <v>72704</v>
      </c>
      <c r="U42" s="132">
        <f t="shared" si="19"/>
        <v>0</v>
      </c>
      <c r="V42" s="132">
        <f t="shared" si="20"/>
        <v>0</v>
      </c>
      <c r="W42" s="132">
        <f t="shared" si="21"/>
        <v>0</v>
      </c>
      <c r="X42" s="132">
        <f t="shared" si="22"/>
        <v>72704</v>
      </c>
      <c r="Y42" s="139" t="s">
        <v>671</v>
      </c>
      <c r="AC42" s="521"/>
    </row>
    <row r="43" spans="1:215" outlineLevel="2" x14ac:dyDescent="0.2">
      <c r="A43" s="495">
        <v>1</v>
      </c>
      <c r="B43" s="127">
        <v>6</v>
      </c>
      <c r="C43" s="129" t="s">
        <v>667</v>
      </c>
      <c r="D43" s="129" t="s">
        <v>551</v>
      </c>
      <c r="E43" s="184" t="s">
        <v>552</v>
      </c>
      <c r="F43" s="130" t="s">
        <v>607</v>
      </c>
      <c r="G43" s="135" t="s">
        <v>103</v>
      </c>
      <c r="H43" s="136" t="s">
        <v>8</v>
      </c>
      <c r="I43" s="134" t="s">
        <v>168</v>
      </c>
      <c r="J43" s="134">
        <v>22</v>
      </c>
      <c r="K43" s="129"/>
      <c r="L43" s="129"/>
      <c r="M43" s="141"/>
      <c r="N43" s="302">
        <f t="shared" si="0"/>
        <v>22</v>
      </c>
      <c r="O43" s="151">
        <v>4800</v>
      </c>
      <c r="P43" s="151">
        <v>4800</v>
      </c>
      <c r="Q43" s="620">
        <v>4800</v>
      </c>
      <c r="R43" s="151">
        <v>4660</v>
      </c>
      <c r="S43" s="132">
        <f t="shared" si="17"/>
        <v>105600</v>
      </c>
      <c r="T43" s="132">
        <f t="shared" si="18"/>
        <v>105600</v>
      </c>
      <c r="U43" s="132">
        <f t="shared" si="19"/>
        <v>0</v>
      </c>
      <c r="V43" s="132">
        <f t="shared" si="20"/>
        <v>0</v>
      </c>
      <c r="W43" s="132">
        <f t="shared" si="21"/>
        <v>0</v>
      </c>
      <c r="X43" s="132">
        <f t="shared" si="22"/>
        <v>105600</v>
      </c>
      <c r="Y43" s="139" t="s">
        <v>671</v>
      </c>
      <c r="AC43" s="521"/>
    </row>
    <row r="44" spans="1:215" outlineLevel="2" x14ac:dyDescent="0.2">
      <c r="A44" s="495">
        <v>1</v>
      </c>
      <c r="B44" s="127">
        <v>6</v>
      </c>
      <c r="C44" s="129" t="s">
        <v>667</v>
      </c>
      <c r="D44" s="129" t="s">
        <v>688</v>
      </c>
      <c r="E44" s="184" t="s">
        <v>689</v>
      </c>
      <c r="F44" s="130" t="s">
        <v>607</v>
      </c>
      <c r="G44" s="135" t="s">
        <v>103</v>
      </c>
      <c r="H44" s="136" t="s">
        <v>21</v>
      </c>
      <c r="I44" s="134" t="s">
        <v>504</v>
      </c>
      <c r="J44" s="134">
        <v>12</v>
      </c>
      <c r="K44" s="129"/>
      <c r="L44" s="129"/>
      <c r="M44" s="141"/>
      <c r="N44" s="302">
        <f t="shared" si="0"/>
        <v>12</v>
      </c>
      <c r="O44" s="151">
        <v>1082</v>
      </c>
      <c r="P44" s="151">
        <v>1082</v>
      </c>
      <c r="Q44" s="620">
        <v>1082</v>
      </c>
      <c r="R44" s="151">
        <v>1050</v>
      </c>
      <c r="S44" s="132">
        <f t="shared" ref="S44" si="23">SUMPRODUCT(J44:M44,O44:R44)</f>
        <v>12984</v>
      </c>
      <c r="T44" s="132">
        <f t="shared" ref="T44" si="24">IF(O44&gt;prisgrense,J44*prisgrense,J44*O44)</f>
        <v>12984</v>
      </c>
      <c r="U44" s="132">
        <f t="shared" ref="U44" si="25">IF(P44&gt;prisgrense,K44*prisgrense,K44*P44)</f>
        <v>0</v>
      </c>
      <c r="V44" s="132">
        <f t="shared" ref="V44" si="26">IF(Q44&gt;prisgrense,L44*prisgrense,L44*Q44)</f>
        <v>0</v>
      </c>
      <c r="W44" s="132">
        <f t="shared" ref="W44" si="27">IF(R44&gt;prisgrense,M44*prisgrense,M44*R44)</f>
        <v>0</v>
      </c>
      <c r="X44" s="132">
        <f t="shared" ref="X44" si="28">SUM(T44:W44)</f>
        <v>12984</v>
      </c>
      <c r="Y44" s="139" t="s">
        <v>687</v>
      </c>
      <c r="AC44" s="521"/>
    </row>
    <row r="45" spans="1:215" outlineLevel="2" x14ac:dyDescent="0.2">
      <c r="A45" s="495">
        <v>1</v>
      </c>
      <c r="B45" s="127">
        <v>6</v>
      </c>
      <c r="C45" s="129" t="s">
        <v>667</v>
      </c>
      <c r="D45" s="129" t="s">
        <v>547</v>
      </c>
      <c r="E45" s="184" t="s">
        <v>670</v>
      </c>
      <c r="F45" s="130" t="s">
        <v>607</v>
      </c>
      <c r="G45" s="135" t="s">
        <v>103</v>
      </c>
      <c r="H45" s="136" t="s">
        <v>9</v>
      </c>
      <c r="I45" s="134" t="s">
        <v>504</v>
      </c>
      <c r="J45" s="134">
        <v>16</v>
      </c>
      <c r="K45" s="129"/>
      <c r="L45" s="129"/>
      <c r="M45" s="141"/>
      <c r="N45" s="302">
        <f t="shared" si="0"/>
        <v>16</v>
      </c>
      <c r="O45" s="151">
        <v>4544</v>
      </c>
      <c r="P45" s="151">
        <v>4544</v>
      </c>
      <c r="Q45" s="620">
        <v>4544</v>
      </c>
      <c r="R45" s="151">
        <v>4412</v>
      </c>
      <c r="S45" s="132">
        <f t="shared" si="17"/>
        <v>72704</v>
      </c>
      <c r="T45" s="132">
        <f t="shared" si="18"/>
        <v>72704</v>
      </c>
      <c r="U45" s="132">
        <f t="shared" si="19"/>
        <v>0</v>
      </c>
      <c r="V45" s="132">
        <f t="shared" si="20"/>
        <v>0</v>
      </c>
      <c r="W45" s="132">
        <f t="shared" si="21"/>
        <v>0</v>
      </c>
      <c r="X45" s="132">
        <f t="shared" si="22"/>
        <v>72704</v>
      </c>
      <c r="Y45" s="139" t="s">
        <v>671</v>
      </c>
      <c r="AC45" s="521"/>
    </row>
    <row r="46" spans="1:215" outlineLevel="2" x14ac:dyDescent="0.2">
      <c r="A46" s="495">
        <v>1</v>
      </c>
      <c r="B46" s="127">
        <v>6</v>
      </c>
      <c r="C46" s="129" t="s">
        <v>667</v>
      </c>
      <c r="D46" s="129" t="s">
        <v>157</v>
      </c>
      <c r="E46" s="184" t="s">
        <v>357</v>
      </c>
      <c r="F46" s="130" t="s">
        <v>607</v>
      </c>
      <c r="G46" s="135" t="s">
        <v>103</v>
      </c>
      <c r="H46" s="136" t="s">
        <v>8</v>
      </c>
      <c r="I46" s="134" t="s">
        <v>68</v>
      </c>
      <c r="J46" s="134">
        <v>31</v>
      </c>
      <c r="K46" s="129"/>
      <c r="L46" s="129"/>
      <c r="M46" s="141"/>
      <c r="N46" s="302">
        <f t="shared" si="0"/>
        <v>31</v>
      </c>
      <c r="O46" s="151">
        <v>4800</v>
      </c>
      <c r="P46" s="151">
        <v>4800</v>
      </c>
      <c r="Q46" s="620">
        <v>4800</v>
      </c>
      <c r="R46" s="151">
        <v>4660</v>
      </c>
      <c r="S46" s="132">
        <f t="shared" si="17"/>
        <v>148800</v>
      </c>
      <c r="T46" s="132">
        <f t="shared" si="18"/>
        <v>148800</v>
      </c>
      <c r="U46" s="132">
        <f t="shared" si="19"/>
        <v>0</v>
      </c>
      <c r="V46" s="132">
        <f t="shared" si="20"/>
        <v>0</v>
      </c>
      <c r="W46" s="132">
        <f t="shared" si="21"/>
        <v>0</v>
      </c>
      <c r="X46" s="132">
        <f t="shared" si="22"/>
        <v>148800</v>
      </c>
      <c r="Y46" s="139" t="s">
        <v>671</v>
      </c>
      <c r="AC46" s="521"/>
    </row>
    <row r="47" spans="1:215" outlineLevel="2" x14ac:dyDescent="0.2">
      <c r="A47" s="495">
        <v>1</v>
      </c>
      <c r="B47" s="127">
        <v>6</v>
      </c>
      <c r="C47" s="129" t="s">
        <v>667</v>
      </c>
      <c r="D47" s="129" t="s">
        <v>627</v>
      </c>
      <c r="E47" s="184" t="s">
        <v>628</v>
      </c>
      <c r="F47" s="130" t="s">
        <v>607</v>
      </c>
      <c r="G47" s="135" t="s">
        <v>103</v>
      </c>
      <c r="H47" s="136" t="s">
        <v>8</v>
      </c>
      <c r="I47" s="134" t="s">
        <v>128</v>
      </c>
      <c r="J47" s="134">
        <v>15</v>
      </c>
      <c r="K47" s="129"/>
      <c r="L47" s="129"/>
      <c r="M47" s="141"/>
      <c r="N47" s="302">
        <f t="shared" si="0"/>
        <v>15</v>
      </c>
      <c r="O47" s="151">
        <v>757</v>
      </c>
      <c r="P47" s="151">
        <v>757</v>
      </c>
      <c r="Q47" s="620">
        <v>757</v>
      </c>
      <c r="R47" s="151">
        <v>735</v>
      </c>
      <c r="S47" s="132">
        <f t="shared" si="17"/>
        <v>11355</v>
      </c>
      <c r="T47" s="132">
        <f t="shared" si="18"/>
        <v>11355</v>
      </c>
      <c r="U47" s="132">
        <f t="shared" si="19"/>
        <v>0</v>
      </c>
      <c r="V47" s="132">
        <f t="shared" si="20"/>
        <v>0</v>
      </c>
      <c r="W47" s="132">
        <f t="shared" si="21"/>
        <v>0</v>
      </c>
      <c r="X47" s="132">
        <f t="shared" si="22"/>
        <v>11355</v>
      </c>
      <c r="Y47" s="139" t="s">
        <v>671</v>
      </c>
      <c r="AC47" s="521"/>
    </row>
    <row r="48" spans="1:215" outlineLevel="2" x14ac:dyDescent="0.2">
      <c r="A48" s="495">
        <v>1</v>
      </c>
      <c r="B48" s="127">
        <v>6</v>
      </c>
      <c r="C48" s="129" t="s">
        <v>667</v>
      </c>
      <c r="D48" s="129" t="s">
        <v>625</v>
      </c>
      <c r="E48" s="184" t="s">
        <v>626</v>
      </c>
      <c r="F48" s="130" t="s">
        <v>607</v>
      </c>
      <c r="G48" s="135" t="s">
        <v>103</v>
      </c>
      <c r="H48" s="136" t="s">
        <v>8</v>
      </c>
      <c r="I48" s="134" t="s">
        <v>128</v>
      </c>
      <c r="J48" s="134">
        <v>11</v>
      </c>
      <c r="K48" s="129"/>
      <c r="L48" s="129"/>
      <c r="M48" s="141"/>
      <c r="N48" s="302">
        <f t="shared" si="0"/>
        <v>11</v>
      </c>
      <c r="O48" s="151">
        <v>757</v>
      </c>
      <c r="P48" s="151">
        <v>757</v>
      </c>
      <c r="Q48" s="620">
        <v>757</v>
      </c>
      <c r="R48" s="151">
        <v>735</v>
      </c>
      <c r="S48" s="132">
        <f t="shared" si="17"/>
        <v>8327</v>
      </c>
      <c r="T48" s="132">
        <f t="shared" si="18"/>
        <v>8327</v>
      </c>
      <c r="U48" s="132">
        <f t="shared" si="19"/>
        <v>0</v>
      </c>
      <c r="V48" s="132">
        <f t="shared" si="20"/>
        <v>0</v>
      </c>
      <c r="W48" s="132">
        <f t="shared" si="21"/>
        <v>0</v>
      </c>
      <c r="X48" s="132">
        <f t="shared" si="22"/>
        <v>8327</v>
      </c>
      <c r="Y48" s="139" t="s">
        <v>671</v>
      </c>
      <c r="AC48" s="521"/>
    </row>
    <row r="49" spans="1:215" outlineLevel="2" x14ac:dyDescent="0.2">
      <c r="A49" s="495">
        <v>1</v>
      </c>
      <c r="B49" s="148">
        <v>7</v>
      </c>
      <c r="C49" s="129" t="s">
        <v>219</v>
      </c>
      <c r="D49" s="129" t="s">
        <v>220</v>
      </c>
      <c r="E49" s="184">
        <v>3800</v>
      </c>
      <c r="F49" s="135" t="s">
        <v>108</v>
      </c>
      <c r="G49" s="135" t="s">
        <v>174</v>
      </c>
      <c r="H49" s="136" t="s">
        <v>8</v>
      </c>
      <c r="I49" s="134" t="s">
        <v>67</v>
      </c>
      <c r="J49" s="134"/>
      <c r="K49" s="134"/>
      <c r="L49" s="134"/>
      <c r="M49" s="177"/>
      <c r="N49" s="302">
        <f t="shared" si="0"/>
        <v>0</v>
      </c>
      <c r="O49" s="392">
        <v>542</v>
      </c>
      <c r="P49" s="392">
        <v>542</v>
      </c>
      <c r="Q49" s="616">
        <v>542</v>
      </c>
      <c r="R49" s="392">
        <v>526</v>
      </c>
      <c r="S49" s="132">
        <f t="shared" si="2"/>
        <v>0</v>
      </c>
      <c r="T49" s="132">
        <f t="shared" ref="T49:W71" si="29">IF(O49&gt;prisgrense,J49*prisgrense,J49*O49)</f>
        <v>0</v>
      </c>
      <c r="U49" s="132">
        <f t="shared" si="29"/>
        <v>0</v>
      </c>
      <c r="V49" s="132">
        <f t="shared" si="29"/>
        <v>0</v>
      </c>
      <c r="W49" s="132">
        <f t="shared" si="29"/>
        <v>0</v>
      </c>
      <c r="X49" s="132">
        <f t="shared" si="3"/>
        <v>0</v>
      </c>
      <c r="Y49" s="104"/>
      <c r="AC49" s="521"/>
    </row>
    <row r="50" spans="1:215" outlineLevel="2" x14ac:dyDescent="0.2">
      <c r="A50" s="495">
        <v>1</v>
      </c>
      <c r="B50" s="148">
        <v>7</v>
      </c>
      <c r="C50" s="129" t="s">
        <v>219</v>
      </c>
      <c r="D50" s="129" t="s">
        <v>221</v>
      </c>
      <c r="E50" s="184">
        <v>3810</v>
      </c>
      <c r="F50" s="135" t="s">
        <v>108</v>
      </c>
      <c r="G50" s="135" t="s">
        <v>174</v>
      </c>
      <c r="H50" s="136" t="s">
        <v>8</v>
      </c>
      <c r="I50" s="134" t="s">
        <v>168</v>
      </c>
      <c r="J50" s="134"/>
      <c r="K50" s="134"/>
      <c r="L50" s="134"/>
      <c r="M50" s="177"/>
      <c r="N50" s="302">
        <f t="shared" si="0"/>
        <v>0</v>
      </c>
      <c r="O50" s="392">
        <v>4328</v>
      </c>
      <c r="P50" s="392">
        <v>4328</v>
      </c>
      <c r="Q50" s="616">
        <v>4328</v>
      </c>
      <c r="R50" s="392">
        <v>4202</v>
      </c>
      <c r="S50" s="132">
        <f t="shared" si="2"/>
        <v>0</v>
      </c>
      <c r="T50" s="132">
        <f t="shared" si="29"/>
        <v>0</v>
      </c>
      <c r="U50" s="132">
        <f t="shared" si="29"/>
        <v>0</v>
      </c>
      <c r="V50" s="132">
        <f t="shared" si="29"/>
        <v>0</v>
      </c>
      <c r="W50" s="132">
        <f t="shared" si="29"/>
        <v>0</v>
      </c>
      <c r="X50" s="132">
        <f t="shared" si="3"/>
        <v>0</v>
      </c>
      <c r="Y50" s="104"/>
      <c r="AC50" s="521"/>
    </row>
    <row r="51" spans="1:215" outlineLevel="2" x14ac:dyDescent="0.2">
      <c r="A51" s="495">
        <v>1</v>
      </c>
      <c r="B51" s="148">
        <v>7</v>
      </c>
      <c r="C51" s="129" t="s">
        <v>219</v>
      </c>
      <c r="D51" s="129" t="s">
        <v>222</v>
      </c>
      <c r="E51" s="184">
        <v>3820</v>
      </c>
      <c r="F51" s="135" t="s">
        <v>108</v>
      </c>
      <c r="G51" s="135" t="s">
        <v>174</v>
      </c>
      <c r="H51" s="136" t="s">
        <v>8</v>
      </c>
      <c r="I51" s="134" t="s">
        <v>168</v>
      </c>
      <c r="J51" s="134"/>
      <c r="K51" s="134"/>
      <c r="L51" s="134"/>
      <c r="M51" s="177"/>
      <c r="N51" s="302">
        <f t="shared" si="0"/>
        <v>0</v>
      </c>
      <c r="O51" s="392">
        <v>542</v>
      </c>
      <c r="P51" s="392">
        <v>542</v>
      </c>
      <c r="Q51" s="616">
        <v>542</v>
      </c>
      <c r="R51" s="392">
        <v>526</v>
      </c>
      <c r="S51" s="132">
        <f t="shared" si="2"/>
        <v>0</v>
      </c>
      <c r="T51" s="132">
        <f t="shared" si="29"/>
        <v>0</v>
      </c>
      <c r="U51" s="132">
        <f t="shared" si="29"/>
        <v>0</v>
      </c>
      <c r="V51" s="132">
        <f t="shared" si="29"/>
        <v>0</v>
      </c>
      <c r="W51" s="132">
        <f t="shared" si="29"/>
        <v>0</v>
      </c>
      <c r="X51" s="132">
        <f t="shared" si="3"/>
        <v>0</v>
      </c>
      <c r="Y51" s="104"/>
      <c r="AC51" s="521"/>
    </row>
    <row r="52" spans="1:215" outlineLevel="2" x14ac:dyDescent="0.2">
      <c r="A52" s="495">
        <v>1</v>
      </c>
      <c r="B52" s="148">
        <v>7</v>
      </c>
      <c r="C52" s="129" t="s">
        <v>219</v>
      </c>
      <c r="D52" s="129" t="s">
        <v>223</v>
      </c>
      <c r="E52" s="184">
        <v>3830</v>
      </c>
      <c r="F52" s="135" t="s">
        <v>108</v>
      </c>
      <c r="G52" s="135" t="s">
        <v>174</v>
      </c>
      <c r="H52" s="136" t="s">
        <v>8</v>
      </c>
      <c r="I52" s="134" t="s">
        <v>68</v>
      </c>
      <c r="J52" s="134"/>
      <c r="K52" s="134"/>
      <c r="L52" s="134"/>
      <c r="M52" s="177"/>
      <c r="N52" s="302">
        <f t="shared" si="0"/>
        <v>0</v>
      </c>
      <c r="O52" s="392">
        <v>542</v>
      </c>
      <c r="P52" s="392">
        <v>542</v>
      </c>
      <c r="Q52" s="616">
        <v>542</v>
      </c>
      <c r="R52" s="392">
        <v>526</v>
      </c>
      <c r="S52" s="132">
        <f t="shared" si="2"/>
        <v>0</v>
      </c>
      <c r="T52" s="132">
        <f t="shared" si="29"/>
        <v>0</v>
      </c>
      <c r="U52" s="132">
        <f t="shared" si="29"/>
        <v>0</v>
      </c>
      <c r="V52" s="132">
        <f t="shared" si="29"/>
        <v>0</v>
      </c>
      <c r="W52" s="132">
        <f t="shared" si="29"/>
        <v>0</v>
      </c>
      <c r="X52" s="132">
        <f t="shared" si="3"/>
        <v>0</v>
      </c>
      <c r="Y52" s="104"/>
      <c r="AC52" s="521"/>
    </row>
    <row r="53" spans="1:215" s="139" customFormat="1" outlineLevel="2" x14ac:dyDescent="0.2">
      <c r="A53" s="495">
        <v>1</v>
      </c>
      <c r="B53" s="153">
        <v>7</v>
      </c>
      <c r="C53" s="129" t="s">
        <v>219</v>
      </c>
      <c r="D53" s="129" t="s">
        <v>224</v>
      </c>
      <c r="E53" s="184">
        <v>3840</v>
      </c>
      <c r="F53" s="135" t="s">
        <v>108</v>
      </c>
      <c r="G53" s="135" t="s">
        <v>174</v>
      </c>
      <c r="H53" s="136" t="s">
        <v>8</v>
      </c>
      <c r="I53" s="134" t="s">
        <v>68</v>
      </c>
      <c r="J53" s="134"/>
      <c r="K53" s="134"/>
      <c r="L53" s="134"/>
      <c r="M53" s="177"/>
      <c r="N53" s="302">
        <f t="shared" si="0"/>
        <v>0</v>
      </c>
      <c r="O53" s="392">
        <v>4870</v>
      </c>
      <c r="P53" s="392">
        <v>4870</v>
      </c>
      <c r="Q53" s="616">
        <v>4870</v>
      </c>
      <c r="R53" s="392">
        <v>4728</v>
      </c>
      <c r="S53" s="132">
        <f t="shared" si="2"/>
        <v>0</v>
      </c>
      <c r="T53" s="132">
        <f t="shared" si="29"/>
        <v>0</v>
      </c>
      <c r="U53" s="132">
        <f t="shared" si="29"/>
        <v>0</v>
      </c>
      <c r="V53" s="132">
        <f t="shared" si="29"/>
        <v>0</v>
      </c>
      <c r="W53" s="132">
        <f t="shared" si="29"/>
        <v>0</v>
      </c>
      <c r="X53" s="132">
        <f t="shared" si="3"/>
        <v>0</v>
      </c>
      <c r="Z53" s="394"/>
      <c r="AC53" s="521"/>
    </row>
    <row r="54" spans="1:215" outlineLevel="2" x14ac:dyDescent="0.2">
      <c r="A54" s="495">
        <v>1</v>
      </c>
      <c r="B54" s="127">
        <v>7</v>
      </c>
      <c r="C54" s="129" t="s">
        <v>219</v>
      </c>
      <c r="D54" s="129" t="s">
        <v>225</v>
      </c>
      <c r="E54" s="184">
        <v>3850</v>
      </c>
      <c r="F54" s="135" t="s">
        <v>108</v>
      </c>
      <c r="G54" s="135" t="s">
        <v>174</v>
      </c>
      <c r="H54" s="136" t="s">
        <v>9</v>
      </c>
      <c r="I54" s="134" t="s">
        <v>504</v>
      </c>
      <c r="J54" s="134"/>
      <c r="K54" s="134"/>
      <c r="L54" s="134"/>
      <c r="M54" s="177"/>
      <c r="N54" s="302">
        <f t="shared" si="0"/>
        <v>0</v>
      </c>
      <c r="O54" s="132">
        <v>542</v>
      </c>
      <c r="P54" s="132">
        <v>542</v>
      </c>
      <c r="Q54" s="621">
        <v>542</v>
      </c>
      <c r="R54" s="132">
        <v>526</v>
      </c>
      <c r="S54" s="132">
        <f t="shared" si="2"/>
        <v>0</v>
      </c>
      <c r="T54" s="132">
        <f t="shared" si="29"/>
        <v>0</v>
      </c>
      <c r="U54" s="132">
        <f t="shared" si="29"/>
        <v>0</v>
      </c>
      <c r="V54" s="132">
        <f t="shared" si="29"/>
        <v>0</v>
      </c>
      <c r="W54" s="132">
        <f t="shared" si="29"/>
        <v>0</v>
      </c>
      <c r="X54" s="132">
        <f t="shared" si="3"/>
        <v>0</v>
      </c>
      <c r="Y54" s="104"/>
      <c r="AC54" s="521"/>
    </row>
    <row r="55" spans="1:215" outlineLevel="2" x14ac:dyDescent="0.2">
      <c r="A55" s="495">
        <v>1</v>
      </c>
      <c r="B55" s="147">
        <v>7</v>
      </c>
      <c r="C55" s="129" t="s">
        <v>219</v>
      </c>
      <c r="D55" s="129" t="s">
        <v>226</v>
      </c>
      <c r="E55" s="184">
        <v>3852</v>
      </c>
      <c r="F55" s="135" t="s">
        <v>108</v>
      </c>
      <c r="G55" s="135" t="s">
        <v>174</v>
      </c>
      <c r="H55" s="136" t="s">
        <v>21</v>
      </c>
      <c r="I55" s="134" t="s">
        <v>504</v>
      </c>
      <c r="J55" s="134"/>
      <c r="K55" s="134"/>
      <c r="L55" s="134"/>
      <c r="M55" s="177"/>
      <c r="N55" s="302">
        <f t="shared" si="0"/>
        <v>0</v>
      </c>
      <c r="O55" s="132">
        <v>542</v>
      </c>
      <c r="P55" s="132">
        <v>542</v>
      </c>
      <c r="Q55" s="621">
        <v>542</v>
      </c>
      <c r="R55" s="132">
        <v>526</v>
      </c>
      <c r="S55" s="132">
        <f t="shared" si="2"/>
        <v>0</v>
      </c>
      <c r="T55" s="132">
        <f t="shared" si="29"/>
        <v>0</v>
      </c>
      <c r="U55" s="132">
        <f t="shared" si="29"/>
        <v>0</v>
      </c>
      <c r="V55" s="132">
        <f t="shared" si="29"/>
        <v>0</v>
      </c>
      <c r="W55" s="132">
        <f t="shared" si="29"/>
        <v>0</v>
      </c>
      <c r="X55" s="132">
        <f t="shared" si="3"/>
        <v>0</v>
      </c>
      <c r="Y55" s="104"/>
      <c r="AC55" s="521"/>
    </row>
    <row r="56" spans="1:215" outlineLevel="2" x14ac:dyDescent="0.2">
      <c r="A56" s="494">
        <v>1</v>
      </c>
      <c r="B56" s="127">
        <v>8</v>
      </c>
      <c r="C56" s="154" t="s">
        <v>227</v>
      </c>
      <c r="D56" s="129" t="s">
        <v>228</v>
      </c>
      <c r="E56" s="184">
        <v>1010301</v>
      </c>
      <c r="F56" s="130" t="s">
        <v>746</v>
      </c>
      <c r="G56" s="143" t="s">
        <v>105</v>
      </c>
      <c r="H56" s="133" t="s">
        <v>8</v>
      </c>
      <c r="I56" s="134" t="s">
        <v>168</v>
      </c>
      <c r="J56" s="134"/>
      <c r="K56" s="134"/>
      <c r="L56" s="134"/>
      <c r="M56" s="177"/>
      <c r="N56" s="302">
        <f t="shared" si="0"/>
        <v>0</v>
      </c>
      <c r="O56" s="146">
        <v>4573</v>
      </c>
      <c r="P56" s="146">
        <v>4573</v>
      </c>
      <c r="Q56" s="622">
        <v>4573</v>
      </c>
      <c r="R56" s="146">
        <v>4280</v>
      </c>
      <c r="S56" s="132">
        <f t="shared" si="2"/>
        <v>0</v>
      </c>
      <c r="T56" s="132">
        <f t="shared" si="29"/>
        <v>0</v>
      </c>
      <c r="U56" s="132">
        <f t="shared" si="29"/>
        <v>0</v>
      </c>
      <c r="V56" s="132">
        <f t="shared" si="29"/>
        <v>0</v>
      </c>
      <c r="W56" s="132">
        <f t="shared" si="29"/>
        <v>0</v>
      </c>
      <c r="X56" s="132">
        <f t="shared" si="3"/>
        <v>0</v>
      </c>
      <c r="Z56" s="394"/>
      <c r="AA56" s="139"/>
      <c r="AB56" s="139"/>
      <c r="AC56" s="521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39"/>
      <c r="EH56" s="139"/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39"/>
      <c r="EW56" s="139"/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39"/>
      <c r="FL56" s="139"/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39"/>
      <c r="GA56" s="139"/>
      <c r="GB56" s="139"/>
      <c r="GC56" s="139"/>
      <c r="GD56" s="139"/>
      <c r="GE56" s="139"/>
      <c r="GF56" s="139"/>
      <c r="GG56" s="139"/>
      <c r="GH56" s="139"/>
      <c r="GI56" s="139"/>
      <c r="GJ56" s="139"/>
      <c r="GK56" s="139"/>
      <c r="GL56" s="139"/>
      <c r="GM56" s="139"/>
      <c r="GN56" s="139"/>
      <c r="GO56" s="139"/>
      <c r="GP56" s="139"/>
      <c r="GQ56" s="139"/>
      <c r="GR56" s="139"/>
      <c r="GS56" s="139"/>
      <c r="GT56" s="139"/>
      <c r="GU56" s="139"/>
      <c r="GV56" s="139"/>
      <c r="GW56" s="139"/>
      <c r="GX56" s="139"/>
      <c r="GY56" s="139"/>
      <c r="GZ56" s="139"/>
      <c r="HA56" s="139"/>
      <c r="HB56" s="139"/>
      <c r="HC56" s="139"/>
      <c r="HD56" s="139"/>
      <c r="HE56" s="139"/>
      <c r="HF56" s="139"/>
      <c r="HG56" s="139"/>
    </row>
    <row r="57" spans="1:215" s="139" customFormat="1" outlineLevel="2" x14ac:dyDescent="0.2">
      <c r="A57" s="494">
        <v>1</v>
      </c>
      <c r="B57" s="127">
        <v>8</v>
      </c>
      <c r="C57" s="128" t="s">
        <v>227</v>
      </c>
      <c r="D57" s="129" t="s">
        <v>229</v>
      </c>
      <c r="E57" s="356">
        <v>1010302</v>
      </c>
      <c r="F57" s="130" t="s">
        <v>746</v>
      </c>
      <c r="G57" s="143" t="s">
        <v>105</v>
      </c>
      <c r="H57" s="133" t="s">
        <v>8</v>
      </c>
      <c r="I57" s="134" t="s">
        <v>168</v>
      </c>
      <c r="J57" s="134"/>
      <c r="K57" s="134"/>
      <c r="L57" s="134"/>
      <c r="M57" s="177"/>
      <c r="N57" s="302">
        <f t="shared" si="0"/>
        <v>0</v>
      </c>
      <c r="O57" s="132">
        <v>4770</v>
      </c>
      <c r="P57" s="132">
        <v>4770</v>
      </c>
      <c r="Q57" s="621">
        <v>4770</v>
      </c>
      <c r="R57" s="132">
        <v>4593</v>
      </c>
      <c r="S57" s="132">
        <f t="shared" si="2"/>
        <v>0</v>
      </c>
      <c r="T57" s="132">
        <f t="shared" si="29"/>
        <v>0</v>
      </c>
      <c r="U57" s="132">
        <f t="shared" si="29"/>
        <v>0</v>
      </c>
      <c r="V57" s="132">
        <f t="shared" si="29"/>
        <v>0</v>
      </c>
      <c r="W57" s="132">
        <f t="shared" si="29"/>
        <v>0</v>
      </c>
      <c r="X57" s="132">
        <f t="shared" si="3"/>
        <v>0</v>
      </c>
      <c r="Y57" s="104"/>
      <c r="Z57" s="393"/>
      <c r="AA57" s="104"/>
      <c r="AB57" s="104"/>
      <c r="AC57" s="521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</row>
    <row r="58" spans="1:215" outlineLevel="2" x14ac:dyDescent="0.2">
      <c r="A58" s="494">
        <v>1</v>
      </c>
      <c r="B58" s="127">
        <v>8</v>
      </c>
      <c r="C58" s="128" t="s">
        <v>227</v>
      </c>
      <c r="D58" s="129" t="s">
        <v>230</v>
      </c>
      <c r="E58" s="356">
        <v>1010303</v>
      </c>
      <c r="F58" s="130" t="s">
        <v>746</v>
      </c>
      <c r="G58" s="143" t="s">
        <v>105</v>
      </c>
      <c r="H58" s="133" t="s">
        <v>8</v>
      </c>
      <c r="I58" s="134" t="s">
        <v>68</v>
      </c>
      <c r="J58" s="134"/>
      <c r="K58" s="134"/>
      <c r="L58" s="134"/>
      <c r="M58" s="177"/>
      <c r="N58" s="302">
        <f t="shared" si="0"/>
        <v>0</v>
      </c>
      <c r="O58" s="132">
        <v>4735</v>
      </c>
      <c r="P58" s="132">
        <v>4735</v>
      </c>
      <c r="Q58" s="621">
        <v>4735</v>
      </c>
      <c r="R58" s="132">
        <v>4559</v>
      </c>
      <c r="S58" s="132">
        <f t="shared" si="2"/>
        <v>0</v>
      </c>
      <c r="T58" s="132">
        <f t="shared" si="29"/>
        <v>0</v>
      </c>
      <c r="U58" s="132">
        <f t="shared" si="29"/>
        <v>0</v>
      </c>
      <c r="V58" s="132">
        <f t="shared" si="29"/>
        <v>0</v>
      </c>
      <c r="W58" s="132">
        <f t="shared" si="29"/>
        <v>0</v>
      </c>
      <c r="X58" s="132">
        <f t="shared" si="3"/>
        <v>0</v>
      </c>
      <c r="Y58" s="104"/>
      <c r="AC58" s="521"/>
    </row>
    <row r="59" spans="1:215" outlineLevel="2" x14ac:dyDescent="0.2">
      <c r="A59" s="494">
        <v>1</v>
      </c>
      <c r="B59" s="127">
        <v>8</v>
      </c>
      <c r="C59" s="128" t="s">
        <v>227</v>
      </c>
      <c r="D59" s="129" t="s">
        <v>231</v>
      </c>
      <c r="E59" s="356">
        <v>1010304</v>
      </c>
      <c r="F59" s="130" t="s">
        <v>746</v>
      </c>
      <c r="G59" s="143" t="s">
        <v>105</v>
      </c>
      <c r="H59" s="133" t="s">
        <v>8</v>
      </c>
      <c r="I59" s="134" t="s">
        <v>68</v>
      </c>
      <c r="J59" s="134"/>
      <c r="K59" s="134"/>
      <c r="L59" s="134"/>
      <c r="M59" s="177"/>
      <c r="N59" s="302">
        <f t="shared" si="0"/>
        <v>0</v>
      </c>
      <c r="O59" s="132">
        <v>4796</v>
      </c>
      <c r="P59" s="132">
        <v>4796</v>
      </c>
      <c r="Q59" s="621">
        <v>4796</v>
      </c>
      <c r="R59" s="132">
        <v>4489</v>
      </c>
      <c r="S59" s="132">
        <f t="shared" si="2"/>
        <v>0</v>
      </c>
      <c r="T59" s="132">
        <f t="shared" si="29"/>
        <v>0</v>
      </c>
      <c r="U59" s="132">
        <f t="shared" si="29"/>
        <v>0</v>
      </c>
      <c r="V59" s="132">
        <f t="shared" si="29"/>
        <v>0</v>
      </c>
      <c r="W59" s="132">
        <f t="shared" si="29"/>
        <v>0</v>
      </c>
      <c r="X59" s="132">
        <f t="shared" si="3"/>
        <v>0</v>
      </c>
      <c r="Y59" s="104"/>
      <c r="AC59" s="521"/>
    </row>
    <row r="60" spans="1:215" outlineLevel="2" x14ac:dyDescent="0.2">
      <c r="A60" s="494">
        <v>1</v>
      </c>
      <c r="B60" s="127">
        <v>8</v>
      </c>
      <c r="C60" s="128" t="s">
        <v>227</v>
      </c>
      <c r="D60" s="129" t="s">
        <v>232</v>
      </c>
      <c r="E60" s="356">
        <v>1010306</v>
      </c>
      <c r="F60" s="130" t="s">
        <v>746</v>
      </c>
      <c r="G60" s="143" t="s">
        <v>105</v>
      </c>
      <c r="H60" s="133" t="s">
        <v>9</v>
      </c>
      <c r="I60" s="134" t="s">
        <v>504</v>
      </c>
      <c r="J60" s="134"/>
      <c r="K60" s="134"/>
      <c r="L60" s="134"/>
      <c r="M60" s="177"/>
      <c r="N60" s="302">
        <f t="shared" si="0"/>
        <v>0</v>
      </c>
      <c r="O60" s="132">
        <v>446</v>
      </c>
      <c r="P60" s="132">
        <v>446</v>
      </c>
      <c r="Q60" s="621">
        <v>446</v>
      </c>
      <c r="R60" s="132">
        <v>417</v>
      </c>
      <c r="S60" s="132">
        <f t="shared" si="2"/>
        <v>0</v>
      </c>
      <c r="T60" s="132">
        <f t="shared" si="29"/>
        <v>0</v>
      </c>
      <c r="U60" s="132">
        <f t="shared" si="29"/>
        <v>0</v>
      </c>
      <c r="V60" s="132">
        <f t="shared" si="29"/>
        <v>0</v>
      </c>
      <c r="W60" s="132">
        <f t="shared" si="29"/>
        <v>0</v>
      </c>
      <c r="X60" s="132">
        <f t="shared" si="3"/>
        <v>0</v>
      </c>
      <c r="Y60" s="104"/>
      <c r="AC60" s="521"/>
    </row>
    <row r="61" spans="1:215" outlineLevel="2" x14ac:dyDescent="0.2">
      <c r="A61" s="495">
        <v>1</v>
      </c>
      <c r="B61" s="127">
        <v>8</v>
      </c>
      <c r="C61" s="129" t="s">
        <v>227</v>
      </c>
      <c r="D61" s="129" t="s">
        <v>233</v>
      </c>
      <c r="E61" s="356">
        <v>1010307</v>
      </c>
      <c r="F61" s="130" t="s">
        <v>746</v>
      </c>
      <c r="G61" s="143" t="s">
        <v>105</v>
      </c>
      <c r="H61" s="136" t="s">
        <v>9</v>
      </c>
      <c r="I61" s="134" t="s">
        <v>504</v>
      </c>
      <c r="J61" s="134"/>
      <c r="K61" s="134"/>
      <c r="L61" s="134"/>
      <c r="M61" s="177"/>
      <c r="N61" s="302">
        <f t="shared" si="0"/>
        <v>0</v>
      </c>
      <c r="O61" s="146">
        <v>446</v>
      </c>
      <c r="P61" s="146">
        <v>446</v>
      </c>
      <c r="Q61" s="622">
        <v>446</v>
      </c>
      <c r="R61" s="146">
        <v>417</v>
      </c>
      <c r="S61" s="132">
        <f t="shared" si="2"/>
        <v>0</v>
      </c>
      <c r="T61" s="132">
        <f t="shared" si="29"/>
        <v>0</v>
      </c>
      <c r="U61" s="132">
        <f t="shared" si="29"/>
        <v>0</v>
      </c>
      <c r="V61" s="132">
        <f t="shared" si="29"/>
        <v>0</v>
      </c>
      <c r="W61" s="132">
        <f t="shared" si="29"/>
        <v>0</v>
      </c>
      <c r="X61" s="132">
        <f t="shared" si="3"/>
        <v>0</v>
      </c>
      <c r="Y61" s="104"/>
      <c r="AC61" s="521"/>
    </row>
    <row r="62" spans="1:215" s="139" customFormat="1" outlineLevel="2" x14ac:dyDescent="0.2">
      <c r="A62" s="494">
        <v>1</v>
      </c>
      <c r="B62" s="127">
        <v>8</v>
      </c>
      <c r="C62" s="128" t="s">
        <v>227</v>
      </c>
      <c r="D62" s="129" t="s">
        <v>234</v>
      </c>
      <c r="E62" s="356">
        <v>1010308</v>
      </c>
      <c r="F62" s="130" t="s">
        <v>746</v>
      </c>
      <c r="G62" s="143" t="s">
        <v>105</v>
      </c>
      <c r="H62" s="136" t="s">
        <v>9</v>
      </c>
      <c r="I62" s="134" t="s">
        <v>504</v>
      </c>
      <c r="J62" s="134"/>
      <c r="K62" s="134"/>
      <c r="L62" s="134"/>
      <c r="M62" s="177"/>
      <c r="N62" s="302">
        <f t="shared" si="0"/>
        <v>0</v>
      </c>
      <c r="O62" s="132">
        <v>446</v>
      </c>
      <c r="P62" s="132">
        <v>446</v>
      </c>
      <c r="Q62" s="621">
        <v>446</v>
      </c>
      <c r="R62" s="132">
        <v>417</v>
      </c>
      <c r="S62" s="132">
        <f t="shared" si="2"/>
        <v>0</v>
      </c>
      <c r="T62" s="132">
        <f t="shared" si="29"/>
        <v>0</v>
      </c>
      <c r="U62" s="132">
        <f t="shared" si="29"/>
        <v>0</v>
      </c>
      <c r="V62" s="132">
        <f t="shared" si="29"/>
        <v>0</v>
      </c>
      <c r="W62" s="132">
        <f t="shared" si="29"/>
        <v>0</v>
      </c>
      <c r="X62" s="132">
        <f t="shared" si="3"/>
        <v>0</v>
      </c>
      <c r="Y62" s="104"/>
      <c r="Z62" s="393"/>
      <c r="AA62" s="104"/>
      <c r="AB62" s="104"/>
      <c r="AC62" s="521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</row>
    <row r="63" spans="1:215" outlineLevel="2" x14ac:dyDescent="0.2">
      <c r="A63" s="494">
        <v>1</v>
      </c>
      <c r="B63" s="127">
        <v>8</v>
      </c>
      <c r="C63" s="128" t="s">
        <v>227</v>
      </c>
      <c r="D63" s="129" t="s">
        <v>235</v>
      </c>
      <c r="E63" s="356">
        <v>1010309</v>
      </c>
      <c r="F63" s="130" t="s">
        <v>746</v>
      </c>
      <c r="G63" s="143" t="s">
        <v>105</v>
      </c>
      <c r="H63" s="136" t="s">
        <v>21</v>
      </c>
      <c r="I63" s="134" t="s">
        <v>504</v>
      </c>
      <c r="J63" s="134">
        <v>7</v>
      </c>
      <c r="K63" s="134"/>
      <c r="L63" s="134"/>
      <c r="M63" s="177"/>
      <c r="N63" s="302">
        <f t="shared" si="0"/>
        <v>7</v>
      </c>
      <c r="O63" s="132">
        <v>3904</v>
      </c>
      <c r="P63" s="132">
        <v>3904</v>
      </c>
      <c r="Q63" s="621">
        <v>3904</v>
      </c>
      <c r="R63" s="132">
        <v>3654</v>
      </c>
      <c r="S63" s="132">
        <f t="shared" si="2"/>
        <v>27328</v>
      </c>
      <c r="T63" s="132">
        <f t="shared" si="29"/>
        <v>27328</v>
      </c>
      <c r="U63" s="132">
        <f t="shared" si="29"/>
        <v>0</v>
      </c>
      <c r="V63" s="132">
        <f t="shared" si="29"/>
        <v>0</v>
      </c>
      <c r="W63" s="132">
        <f t="shared" si="29"/>
        <v>0</v>
      </c>
      <c r="X63" s="132">
        <f t="shared" si="3"/>
        <v>27328</v>
      </c>
      <c r="Y63" s="104"/>
      <c r="AC63" s="521"/>
    </row>
    <row r="64" spans="1:215" outlineLevel="2" x14ac:dyDescent="0.2">
      <c r="A64" s="495">
        <v>1</v>
      </c>
      <c r="B64" s="127">
        <v>9</v>
      </c>
      <c r="C64" s="129" t="s">
        <v>236</v>
      </c>
      <c r="D64" s="129" t="s">
        <v>237</v>
      </c>
      <c r="E64" s="184">
        <v>3900</v>
      </c>
      <c r="F64" s="135" t="s">
        <v>108</v>
      </c>
      <c r="G64" s="135" t="s">
        <v>174</v>
      </c>
      <c r="H64" s="136" t="s">
        <v>8</v>
      </c>
      <c r="I64" s="134" t="s">
        <v>128</v>
      </c>
      <c r="J64" s="134"/>
      <c r="K64" s="134"/>
      <c r="L64" s="134"/>
      <c r="M64" s="177"/>
      <c r="N64" s="302">
        <f t="shared" si="0"/>
        <v>0</v>
      </c>
      <c r="O64" s="132">
        <v>542</v>
      </c>
      <c r="P64" s="132">
        <v>542</v>
      </c>
      <c r="Q64" s="621">
        <v>542</v>
      </c>
      <c r="R64" s="132">
        <v>526</v>
      </c>
      <c r="S64" s="132">
        <f t="shared" si="2"/>
        <v>0</v>
      </c>
      <c r="T64" s="132">
        <f t="shared" si="29"/>
        <v>0</v>
      </c>
      <c r="U64" s="132">
        <f t="shared" si="29"/>
        <v>0</v>
      </c>
      <c r="V64" s="132">
        <f t="shared" si="29"/>
        <v>0</v>
      </c>
      <c r="W64" s="132">
        <f t="shared" si="29"/>
        <v>0</v>
      </c>
      <c r="X64" s="132">
        <f t="shared" si="3"/>
        <v>0</v>
      </c>
      <c r="Y64" s="104"/>
      <c r="AC64" s="521"/>
    </row>
    <row r="65" spans="1:215" outlineLevel="2" x14ac:dyDescent="0.2">
      <c r="A65" s="495">
        <v>1</v>
      </c>
      <c r="B65" s="127">
        <v>9</v>
      </c>
      <c r="C65" s="129" t="s">
        <v>236</v>
      </c>
      <c r="D65" s="129" t="s">
        <v>238</v>
      </c>
      <c r="E65" s="184">
        <v>3910</v>
      </c>
      <c r="F65" s="135" t="s">
        <v>108</v>
      </c>
      <c r="G65" s="135" t="s">
        <v>174</v>
      </c>
      <c r="H65" s="136" t="s">
        <v>8</v>
      </c>
      <c r="I65" s="134" t="s">
        <v>168</v>
      </c>
      <c r="J65" s="134"/>
      <c r="K65" s="134"/>
      <c r="L65" s="134"/>
      <c r="M65" s="177"/>
      <c r="N65" s="302">
        <f t="shared" si="0"/>
        <v>0</v>
      </c>
      <c r="O65" s="132">
        <v>542</v>
      </c>
      <c r="P65" s="132">
        <v>542</v>
      </c>
      <c r="Q65" s="621">
        <v>542</v>
      </c>
      <c r="R65" s="132">
        <v>526</v>
      </c>
      <c r="S65" s="132">
        <f t="shared" si="2"/>
        <v>0</v>
      </c>
      <c r="T65" s="132">
        <f t="shared" si="29"/>
        <v>0</v>
      </c>
      <c r="U65" s="132">
        <f t="shared" si="29"/>
        <v>0</v>
      </c>
      <c r="V65" s="132">
        <f t="shared" si="29"/>
        <v>0</v>
      </c>
      <c r="W65" s="132">
        <f t="shared" si="29"/>
        <v>0</v>
      </c>
      <c r="X65" s="132">
        <f t="shared" si="3"/>
        <v>0</v>
      </c>
      <c r="Y65" s="104"/>
      <c r="AC65" s="521"/>
    </row>
    <row r="66" spans="1:215" outlineLevel="2" x14ac:dyDescent="0.2">
      <c r="A66" s="495">
        <v>1</v>
      </c>
      <c r="B66" s="127">
        <v>9</v>
      </c>
      <c r="C66" s="129" t="s">
        <v>236</v>
      </c>
      <c r="D66" s="129" t="s">
        <v>239</v>
      </c>
      <c r="E66" s="184">
        <v>3920</v>
      </c>
      <c r="F66" s="135" t="s">
        <v>108</v>
      </c>
      <c r="G66" s="135" t="s">
        <v>174</v>
      </c>
      <c r="H66" s="136" t="s">
        <v>8</v>
      </c>
      <c r="I66" s="134" t="s">
        <v>168</v>
      </c>
      <c r="J66" s="134"/>
      <c r="K66" s="134"/>
      <c r="L66" s="134"/>
      <c r="M66" s="177"/>
      <c r="N66" s="302">
        <f t="shared" si="0"/>
        <v>0</v>
      </c>
      <c r="O66" s="132">
        <v>542</v>
      </c>
      <c r="P66" s="132">
        <v>542</v>
      </c>
      <c r="Q66" s="621">
        <v>542</v>
      </c>
      <c r="R66" s="132">
        <v>526</v>
      </c>
      <c r="S66" s="132">
        <f t="shared" si="2"/>
        <v>0</v>
      </c>
      <c r="T66" s="132">
        <f t="shared" si="29"/>
        <v>0</v>
      </c>
      <c r="U66" s="132">
        <f t="shared" si="29"/>
        <v>0</v>
      </c>
      <c r="V66" s="132">
        <f t="shared" si="29"/>
        <v>0</v>
      </c>
      <c r="W66" s="132">
        <f t="shared" si="29"/>
        <v>0</v>
      </c>
      <c r="X66" s="132">
        <f t="shared" si="3"/>
        <v>0</v>
      </c>
      <c r="Y66" s="104"/>
      <c r="AC66" s="521"/>
    </row>
    <row r="67" spans="1:215" outlineLevel="2" x14ac:dyDescent="0.2">
      <c r="A67" s="495">
        <v>1</v>
      </c>
      <c r="B67" s="127">
        <v>9</v>
      </c>
      <c r="C67" s="129" t="s">
        <v>236</v>
      </c>
      <c r="D67" s="129" t="s">
        <v>240</v>
      </c>
      <c r="E67" s="184">
        <v>3930</v>
      </c>
      <c r="F67" s="135" t="s">
        <v>108</v>
      </c>
      <c r="G67" s="135" t="s">
        <v>174</v>
      </c>
      <c r="H67" s="136" t="s">
        <v>8</v>
      </c>
      <c r="I67" s="134" t="s">
        <v>168</v>
      </c>
      <c r="J67" s="134"/>
      <c r="K67" s="134"/>
      <c r="L67" s="134"/>
      <c r="M67" s="177"/>
      <c r="N67" s="302">
        <f t="shared" si="0"/>
        <v>0</v>
      </c>
      <c r="O67" s="392">
        <v>3787</v>
      </c>
      <c r="P67" s="392">
        <v>3787</v>
      </c>
      <c r="Q67" s="616">
        <v>3787</v>
      </c>
      <c r="R67" s="392">
        <v>3677</v>
      </c>
      <c r="S67" s="132">
        <f t="shared" si="2"/>
        <v>0</v>
      </c>
      <c r="T67" s="132">
        <f t="shared" si="29"/>
        <v>0</v>
      </c>
      <c r="U67" s="132">
        <f t="shared" si="29"/>
        <v>0</v>
      </c>
      <c r="V67" s="132">
        <f t="shared" si="29"/>
        <v>0</v>
      </c>
      <c r="W67" s="132">
        <f t="shared" si="29"/>
        <v>0</v>
      </c>
      <c r="X67" s="132">
        <f t="shared" si="3"/>
        <v>0</v>
      </c>
      <c r="Y67" s="104"/>
      <c r="AC67" s="521"/>
    </row>
    <row r="68" spans="1:215" outlineLevel="2" x14ac:dyDescent="0.2">
      <c r="A68" s="495">
        <v>1</v>
      </c>
      <c r="B68" s="127">
        <v>9</v>
      </c>
      <c r="C68" s="129" t="s">
        <v>236</v>
      </c>
      <c r="D68" s="129" t="s">
        <v>241</v>
      </c>
      <c r="E68" s="184">
        <v>3940</v>
      </c>
      <c r="F68" s="135" t="s">
        <v>108</v>
      </c>
      <c r="G68" s="135" t="s">
        <v>174</v>
      </c>
      <c r="H68" s="136" t="s">
        <v>8</v>
      </c>
      <c r="I68" s="134" t="s">
        <v>68</v>
      </c>
      <c r="J68" s="134"/>
      <c r="K68" s="134"/>
      <c r="L68" s="134"/>
      <c r="M68" s="177"/>
      <c r="N68" s="302">
        <f t="shared" si="0"/>
        <v>0</v>
      </c>
      <c r="O68" s="132">
        <v>542</v>
      </c>
      <c r="P68" s="132">
        <v>542</v>
      </c>
      <c r="Q68" s="621">
        <v>542</v>
      </c>
      <c r="R68" s="132">
        <v>526</v>
      </c>
      <c r="S68" s="132">
        <f t="shared" si="2"/>
        <v>0</v>
      </c>
      <c r="T68" s="132">
        <f t="shared" si="29"/>
        <v>0</v>
      </c>
      <c r="U68" s="132">
        <f t="shared" si="29"/>
        <v>0</v>
      </c>
      <c r="V68" s="132">
        <f t="shared" si="29"/>
        <v>0</v>
      </c>
      <c r="W68" s="132">
        <f t="shared" si="29"/>
        <v>0</v>
      </c>
      <c r="X68" s="132">
        <f t="shared" si="3"/>
        <v>0</v>
      </c>
      <c r="Y68" s="104"/>
      <c r="AC68" s="521"/>
    </row>
    <row r="69" spans="1:215" outlineLevel="2" x14ac:dyDescent="0.2">
      <c r="A69" s="495">
        <v>1</v>
      </c>
      <c r="B69" s="127">
        <v>9</v>
      </c>
      <c r="C69" s="129" t="s">
        <v>236</v>
      </c>
      <c r="D69" s="129" t="s">
        <v>242</v>
      </c>
      <c r="E69" s="184">
        <v>3950</v>
      </c>
      <c r="F69" s="135" t="s">
        <v>108</v>
      </c>
      <c r="G69" s="135" t="s">
        <v>174</v>
      </c>
      <c r="H69" s="136" t="s">
        <v>8</v>
      </c>
      <c r="I69" s="134" t="s">
        <v>68</v>
      </c>
      <c r="J69" s="134"/>
      <c r="K69" s="134"/>
      <c r="L69" s="134"/>
      <c r="M69" s="177"/>
      <c r="N69" s="302">
        <f t="shared" si="0"/>
        <v>0</v>
      </c>
      <c r="O69" s="392">
        <v>3787</v>
      </c>
      <c r="P69" s="392">
        <v>3787</v>
      </c>
      <c r="Q69" s="616">
        <v>3787</v>
      </c>
      <c r="R69" s="392">
        <v>3677</v>
      </c>
      <c r="S69" s="132">
        <f t="shared" si="2"/>
        <v>0</v>
      </c>
      <c r="T69" s="132">
        <f t="shared" si="29"/>
        <v>0</v>
      </c>
      <c r="U69" s="132">
        <f t="shared" si="29"/>
        <v>0</v>
      </c>
      <c r="V69" s="132">
        <f t="shared" si="29"/>
        <v>0</v>
      </c>
      <c r="W69" s="132">
        <f t="shared" si="29"/>
        <v>0</v>
      </c>
      <c r="X69" s="132">
        <f t="shared" si="3"/>
        <v>0</v>
      </c>
      <c r="Z69" s="394"/>
      <c r="AA69" s="139"/>
      <c r="AB69" s="139"/>
      <c r="AC69" s="521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Q69" s="139"/>
      <c r="DR69" s="139"/>
      <c r="DS69" s="139"/>
      <c r="DT69" s="139"/>
      <c r="DU69" s="139"/>
      <c r="DV69" s="139"/>
      <c r="DW69" s="139"/>
      <c r="DX69" s="139"/>
      <c r="DY69" s="139"/>
      <c r="DZ69" s="139"/>
      <c r="EA69" s="139"/>
      <c r="EB69" s="139"/>
      <c r="EC69" s="139"/>
      <c r="ED69" s="139"/>
      <c r="EE69" s="139"/>
      <c r="EF69" s="139"/>
      <c r="EG69" s="139"/>
      <c r="EH69" s="139"/>
      <c r="EI69" s="139"/>
      <c r="EJ69" s="139"/>
      <c r="EK69" s="139"/>
      <c r="EL69" s="139"/>
      <c r="EM69" s="139"/>
      <c r="EN69" s="139"/>
      <c r="EO69" s="139"/>
      <c r="EP69" s="139"/>
      <c r="EQ69" s="139"/>
      <c r="ER69" s="139"/>
      <c r="ES69" s="139"/>
      <c r="ET69" s="139"/>
      <c r="EU69" s="139"/>
      <c r="EV69" s="139"/>
      <c r="EW69" s="139"/>
      <c r="EX69" s="139"/>
      <c r="EY69" s="139"/>
      <c r="EZ69" s="139"/>
      <c r="FA69" s="139"/>
      <c r="FB69" s="139"/>
      <c r="FC69" s="139"/>
      <c r="FD69" s="139"/>
      <c r="FE69" s="139"/>
      <c r="FF69" s="139"/>
      <c r="FG69" s="139"/>
      <c r="FH69" s="139"/>
      <c r="FI69" s="139"/>
      <c r="FJ69" s="139"/>
      <c r="FK69" s="139"/>
      <c r="FL69" s="139"/>
      <c r="FM69" s="139"/>
      <c r="FN69" s="139"/>
      <c r="FO69" s="139"/>
      <c r="FP69" s="139"/>
      <c r="FQ69" s="139"/>
      <c r="FR69" s="139"/>
      <c r="FS69" s="139"/>
      <c r="FT69" s="139"/>
      <c r="FU69" s="139"/>
      <c r="FV69" s="139"/>
      <c r="FW69" s="139"/>
      <c r="FX69" s="139"/>
      <c r="FY69" s="139"/>
      <c r="FZ69" s="139"/>
      <c r="GA69" s="139"/>
      <c r="GB69" s="139"/>
      <c r="GC69" s="139"/>
      <c r="GD69" s="139"/>
      <c r="GE69" s="139"/>
      <c r="GF69" s="139"/>
      <c r="GG69" s="139"/>
      <c r="GH69" s="139"/>
      <c r="GI69" s="139"/>
      <c r="GJ69" s="139"/>
      <c r="GK69" s="139"/>
      <c r="GL69" s="139"/>
      <c r="GM69" s="139"/>
      <c r="GN69" s="139"/>
      <c r="GO69" s="139"/>
      <c r="GP69" s="139"/>
      <c r="GQ69" s="139"/>
      <c r="GR69" s="139"/>
      <c r="GS69" s="139"/>
      <c r="GT69" s="139"/>
      <c r="GU69" s="139"/>
      <c r="GV69" s="139"/>
      <c r="GW69" s="139"/>
      <c r="GX69" s="139"/>
      <c r="GY69" s="139"/>
      <c r="GZ69" s="139"/>
      <c r="HA69" s="139"/>
      <c r="HB69" s="139"/>
      <c r="HC69" s="139"/>
      <c r="HD69" s="139"/>
      <c r="HE69" s="139"/>
      <c r="HF69" s="139"/>
      <c r="HG69" s="139"/>
    </row>
    <row r="70" spans="1:215" s="139" customFormat="1" outlineLevel="2" x14ac:dyDescent="0.2">
      <c r="A70" s="495">
        <v>1</v>
      </c>
      <c r="B70" s="127">
        <v>9</v>
      </c>
      <c r="C70" s="129" t="s">
        <v>236</v>
      </c>
      <c r="D70" s="129" t="s">
        <v>243</v>
      </c>
      <c r="E70" s="184">
        <v>3917</v>
      </c>
      <c r="F70" s="135" t="s">
        <v>108</v>
      </c>
      <c r="G70" s="135" t="s">
        <v>174</v>
      </c>
      <c r="H70" s="136" t="s">
        <v>9</v>
      </c>
      <c r="I70" s="134" t="s">
        <v>504</v>
      </c>
      <c r="J70" s="134"/>
      <c r="K70" s="134"/>
      <c r="L70" s="134"/>
      <c r="M70" s="177"/>
      <c r="N70" s="302">
        <f t="shared" si="0"/>
        <v>0</v>
      </c>
      <c r="O70" s="392">
        <v>3787</v>
      </c>
      <c r="P70" s="392">
        <v>3787</v>
      </c>
      <c r="Q70" s="616">
        <v>3787</v>
      </c>
      <c r="R70" s="392">
        <v>3677</v>
      </c>
      <c r="S70" s="132">
        <f t="shared" si="2"/>
        <v>0</v>
      </c>
      <c r="T70" s="132">
        <f t="shared" si="29"/>
        <v>0</v>
      </c>
      <c r="U70" s="132">
        <f t="shared" si="29"/>
        <v>0</v>
      </c>
      <c r="V70" s="132">
        <f t="shared" si="29"/>
        <v>0</v>
      </c>
      <c r="W70" s="132">
        <f t="shared" si="29"/>
        <v>0</v>
      </c>
      <c r="X70" s="132">
        <f t="shared" si="3"/>
        <v>0</v>
      </c>
      <c r="Y70" s="104"/>
      <c r="Z70" s="393"/>
      <c r="AA70" s="104"/>
      <c r="AB70" s="104"/>
      <c r="AC70" s="521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</row>
    <row r="71" spans="1:215" outlineLevel="2" x14ac:dyDescent="0.2">
      <c r="A71" s="495">
        <v>1</v>
      </c>
      <c r="B71" s="127">
        <v>9</v>
      </c>
      <c r="C71" s="129" t="s">
        <v>236</v>
      </c>
      <c r="D71" s="129" t="s">
        <v>244</v>
      </c>
      <c r="E71" s="184">
        <v>3918</v>
      </c>
      <c r="F71" s="135" t="s">
        <v>108</v>
      </c>
      <c r="G71" s="135" t="s">
        <v>174</v>
      </c>
      <c r="H71" s="136" t="s">
        <v>21</v>
      </c>
      <c r="I71" s="134" t="s">
        <v>504</v>
      </c>
      <c r="J71" s="134"/>
      <c r="K71" s="134"/>
      <c r="L71" s="134"/>
      <c r="M71" s="177"/>
      <c r="N71" s="302">
        <f t="shared" si="0"/>
        <v>0</v>
      </c>
      <c r="O71" s="132">
        <v>542</v>
      </c>
      <c r="P71" s="132">
        <v>542</v>
      </c>
      <c r="Q71" s="621">
        <v>542</v>
      </c>
      <c r="R71" s="132">
        <v>526</v>
      </c>
      <c r="S71" s="132">
        <f t="shared" si="2"/>
        <v>0</v>
      </c>
      <c r="T71" s="132">
        <f t="shared" si="29"/>
        <v>0</v>
      </c>
      <c r="U71" s="132">
        <f t="shared" si="29"/>
        <v>0</v>
      </c>
      <c r="V71" s="132">
        <f t="shared" si="29"/>
        <v>0</v>
      </c>
      <c r="W71" s="132">
        <f t="shared" si="29"/>
        <v>0</v>
      </c>
      <c r="X71" s="132">
        <f t="shared" si="3"/>
        <v>0</v>
      </c>
      <c r="Y71" s="104"/>
      <c r="AC71" s="521"/>
    </row>
    <row r="72" spans="1:215" s="139" customFormat="1" outlineLevel="2" x14ac:dyDescent="0.2">
      <c r="A72" s="495">
        <v>1</v>
      </c>
      <c r="B72" s="127">
        <v>10</v>
      </c>
      <c r="C72" s="129" t="s">
        <v>935</v>
      </c>
      <c r="D72" s="129" t="s">
        <v>937</v>
      </c>
      <c r="E72" s="184"/>
      <c r="F72" s="130" t="s">
        <v>607</v>
      </c>
      <c r="G72" s="135" t="s">
        <v>103</v>
      </c>
      <c r="H72" s="136" t="s">
        <v>8</v>
      </c>
      <c r="I72" s="134" t="s">
        <v>168</v>
      </c>
      <c r="J72" s="134">
        <v>57</v>
      </c>
      <c r="K72" s="129"/>
      <c r="L72" s="129"/>
      <c r="M72" s="141"/>
      <c r="N72" s="302">
        <f t="shared" ref="N72:N79" si="30">SUM(J72:M72)</f>
        <v>57</v>
      </c>
      <c r="O72" s="151">
        <v>4544</v>
      </c>
      <c r="P72" s="151">
        <v>4544</v>
      </c>
      <c r="Q72" s="620">
        <v>4544</v>
      </c>
      <c r="R72" s="151">
        <v>4412</v>
      </c>
      <c r="S72" s="132">
        <f t="shared" ref="S72:S79" si="31">SUMPRODUCT(J72:M72,O72:R72)</f>
        <v>259008</v>
      </c>
      <c r="T72" s="132">
        <f t="shared" ref="T72:T79" si="32">IF(O72&gt;prisgrense,J72*prisgrense,J72*O72)</f>
        <v>259008</v>
      </c>
      <c r="U72" s="132">
        <f t="shared" ref="U72:U79" si="33">IF(P72&gt;prisgrense,K72*prisgrense,K72*P72)</f>
        <v>0</v>
      </c>
      <c r="V72" s="132">
        <f t="shared" ref="V72:V79" si="34">IF(Q72&gt;prisgrense,L72*prisgrense,L72*Q72)</f>
        <v>0</v>
      </c>
      <c r="W72" s="132">
        <f t="shared" ref="W72:W79" si="35">IF(R72&gt;prisgrense,M72*prisgrense,M72*R72)</f>
        <v>0</v>
      </c>
      <c r="X72" s="132">
        <f t="shared" ref="X72:X79" si="36">SUM(T72:W72)</f>
        <v>259008</v>
      </c>
      <c r="Y72" s="139" t="s">
        <v>929</v>
      </c>
      <c r="Z72" s="393"/>
      <c r="AA72" s="104"/>
      <c r="AB72" s="104"/>
      <c r="AC72" s="521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</row>
    <row r="73" spans="1:215" s="139" customFormat="1" outlineLevel="2" x14ac:dyDescent="0.2">
      <c r="A73" s="495">
        <v>1</v>
      </c>
      <c r="B73" s="127">
        <v>10</v>
      </c>
      <c r="C73" s="129" t="s">
        <v>935</v>
      </c>
      <c r="D73" s="129" t="s">
        <v>938</v>
      </c>
      <c r="E73" s="184"/>
      <c r="F73" s="130" t="s">
        <v>607</v>
      </c>
      <c r="G73" s="135" t="s">
        <v>103</v>
      </c>
      <c r="H73" s="136" t="s">
        <v>8</v>
      </c>
      <c r="I73" s="134" t="s">
        <v>128</v>
      </c>
      <c r="J73" s="134">
        <v>38</v>
      </c>
      <c r="K73" s="129"/>
      <c r="L73" s="129"/>
      <c r="M73" s="141"/>
      <c r="N73" s="302">
        <f t="shared" si="30"/>
        <v>38</v>
      </c>
      <c r="O73" s="151">
        <v>3030</v>
      </c>
      <c r="P73" s="151">
        <v>3030</v>
      </c>
      <c r="Q73" s="620">
        <v>3030</v>
      </c>
      <c r="R73" s="151">
        <v>2942</v>
      </c>
      <c r="S73" s="132">
        <f t="shared" si="31"/>
        <v>115140</v>
      </c>
      <c r="T73" s="132">
        <f t="shared" si="32"/>
        <v>115140</v>
      </c>
      <c r="U73" s="132">
        <f t="shared" si="33"/>
        <v>0</v>
      </c>
      <c r="V73" s="132">
        <f t="shared" si="34"/>
        <v>0</v>
      </c>
      <c r="W73" s="132">
        <f t="shared" si="35"/>
        <v>0</v>
      </c>
      <c r="X73" s="132">
        <f t="shared" si="36"/>
        <v>115140</v>
      </c>
      <c r="Y73" s="139" t="s">
        <v>929</v>
      </c>
      <c r="Z73" s="393"/>
      <c r="AA73" s="104"/>
      <c r="AB73" s="104"/>
      <c r="AC73" s="521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</row>
    <row r="74" spans="1:215" s="139" customFormat="1" outlineLevel="2" x14ac:dyDescent="0.2">
      <c r="A74" s="495">
        <v>1</v>
      </c>
      <c r="B74" s="127">
        <v>10</v>
      </c>
      <c r="C74" s="129" t="s">
        <v>935</v>
      </c>
      <c r="D74" s="129" t="s">
        <v>939</v>
      </c>
      <c r="E74" s="184"/>
      <c r="F74" s="130" t="s">
        <v>607</v>
      </c>
      <c r="G74" s="135" t="s">
        <v>103</v>
      </c>
      <c r="H74" s="136" t="s">
        <v>8</v>
      </c>
      <c r="I74" s="134" t="s">
        <v>128</v>
      </c>
      <c r="J74" s="134">
        <v>3</v>
      </c>
      <c r="K74" s="129"/>
      <c r="L74" s="129"/>
      <c r="M74" s="141"/>
      <c r="N74" s="302">
        <f t="shared" si="30"/>
        <v>3</v>
      </c>
      <c r="O74" s="151">
        <v>3030</v>
      </c>
      <c r="P74" s="151">
        <v>3030</v>
      </c>
      <c r="Q74" s="620">
        <v>3030</v>
      </c>
      <c r="R74" s="151">
        <v>2942</v>
      </c>
      <c r="S74" s="132">
        <f t="shared" si="31"/>
        <v>9090</v>
      </c>
      <c r="T74" s="132">
        <f t="shared" si="32"/>
        <v>9090</v>
      </c>
      <c r="U74" s="132">
        <f t="shared" si="33"/>
        <v>0</v>
      </c>
      <c r="V74" s="132">
        <f t="shared" si="34"/>
        <v>0</v>
      </c>
      <c r="W74" s="132">
        <f t="shared" si="35"/>
        <v>0</v>
      </c>
      <c r="X74" s="132">
        <f t="shared" si="36"/>
        <v>9090</v>
      </c>
      <c r="Y74" s="139" t="s">
        <v>929</v>
      </c>
      <c r="Z74" s="393"/>
      <c r="AA74" s="104"/>
      <c r="AB74" s="104"/>
      <c r="AC74" s="521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</row>
    <row r="75" spans="1:215" s="139" customFormat="1" outlineLevel="2" x14ac:dyDescent="0.2">
      <c r="A75" s="495">
        <v>1</v>
      </c>
      <c r="B75" s="127">
        <v>10</v>
      </c>
      <c r="C75" s="129" t="s">
        <v>935</v>
      </c>
      <c r="D75" s="129" t="s">
        <v>940</v>
      </c>
      <c r="E75" s="184"/>
      <c r="F75" s="130" t="s">
        <v>607</v>
      </c>
      <c r="G75" s="135" t="s">
        <v>103</v>
      </c>
      <c r="H75" s="136" t="s">
        <v>8</v>
      </c>
      <c r="I75" s="134" t="s">
        <v>68</v>
      </c>
      <c r="J75" s="134">
        <v>42</v>
      </c>
      <c r="K75" s="129"/>
      <c r="L75" s="129"/>
      <c r="M75" s="141"/>
      <c r="N75" s="302">
        <f t="shared" si="30"/>
        <v>42</v>
      </c>
      <c r="O75" s="151">
        <v>4328</v>
      </c>
      <c r="P75" s="151">
        <v>4328</v>
      </c>
      <c r="Q75" s="620">
        <v>4328</v>
      </c>
      <c r="R75" s="151">
        <v>4202</v>
      </c>
      <c r="S75" s="132">
        <f t="shared" si="31"/>
        <v>181776</v>
      </c>
      <c r="T75" s="132">
        <f t="shared" si="32"/>
        <v>181776</v>
      </c>
      <c r="U75" s="132">
        <f t="shared" si="33"/>
        <v>0</v>
      </c>
      <c r="V75" s="132">
        <f t="shared" si="34"/>
        <v>0</v>
      </c>
      <c r="W75" s="132">
        <f t="shared" si="35"/>
        <v>0</v>
      </c>
      <c r="X75" s="132">
        <f t="shared" si="36"/>
        <v>181776</v>
      </c>
      <c r="Y75" s="139" t="s">
        <v>929</v>
      </c>
      <c r="Z75" s="393"/>
      <c r="AA75" s="104"/>
      <c r="AB75" s="104"/>
      <c r="AC75" s="521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</row>
    <row r="76" spans="1:215" s="139" customFormat="1" outlineLevel="2" x14ac:dyDescent="0.2">
      <c r="A76" s="495">
        <v>1</v>
      </c>
      <c r="B76" s="127">
        <v>10</v>
      </c>
      <c r="C76" s="129" t="s">
        <v>935</v>
      </c>
      <c r="D76" s="129" t="s">
        <v>941</v>
      </c>
      <c r="E76" s="184"/>
      <c r="F76" s="130" t="s">
        <v>607</v>
      </c>
      <c r="G76" s="135" t="s">
        <v>103</v>
      </c>
      <c r="H76" s="136" t="s">
        <v>9</v>
      </c>
      <c r="I76" s="134" t="s">
        <v>504</v>
      </c>
      <c r="J76" s="134">
        <v>8</v>
      </c>
      <c r="K76" s="129"/>
      <c r="L76" s="129"/>
      <c r="M76" s="141"/>
      <c r="N76" s="302">
        <f t="shared" si="30"/>
        <v>8</v>
      </c>
      <c r="O76" s="151">
        <v>1082</v>
      </c>
      <c r="P76" s="151">
        <v>1082</v>
      </c>
      <c r="Q76" s="620">
        <v>1082</v>
      </c>
      <c r="R76" s="151">
        <v>1050</v>
      </c>
      <c r="S76" s="132">
        <f t="shared" si="31"/>
        <v>8656</v>
      </c>
      <c r="T76" s="132">
        <f t="shared" si="32"/>
        <v>8656</v>
      </c>
      <c r="U76" s="132">
        <f t="shared" si="33"/>
        <v>0</v>
      </c>
      <c r="V76" s="132">
        <f t="shared" si="34"/>
        <v>0</v>
      </c>
      <c r="W76" s="132">
        <f t="shared" si="35"/>
        <v>0</v>
      </c>
      <c r="X76" s="132">
        <f t="shared" si="36"/>
        <v>8656</v>
      </c>
      <c r="Y76" s="139" t="s">
        <v>929</v>
      </c>
      <c r="Z76" s="393"/>
      <c r="AA76" s="104"/>
      <c r="AB76" s="104"/>
      <c r="AC76" s="521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</row>
    <row r="77" spans="1:215" s="139" customFormat="1" outlineLevel="2" x14ac:dyDescent="0.2">
      <c r="A77" s="495">
        <v>1</v>
      </c>
      <c r="B77" s="127">
        <v>10</v>
      </c>
      <c r="C77" s="129" t="s">
        <v>935</v>
      </c>
      <c r="D77" s="129" t="s">
        <v>942</v>
      </c>
      <c r="E77" s="184"/>
      <c r="F77" s="130" t="s">
        <v>607</v>
      </c>
      <c r="G77" s="135" t="s">
        <v>103</v>
      </c>
      <c r="H77" s="136" t="s">
        <v>9</v>
      </c>
      <c r="I77" s="134" t="s">
        <v>504</v>
      </c>
      <c r="J77" s="134">
        <v>184</v>
      </c>
      <c r="K77" s="129"/>
      <c r="L77" s="129"/>
      <c r="M77" s="141"/>
      <c r="N77" s="302">
        <f t="shared" si="30"/>
        <v>184</v>
      </c>
      <c r="O77" s="151">
        <v>4544</v>
      </c>
      <c r="P77" s="151">
        <v>4544</v>
      </c>
      <c r="Q77" s="620">
        <v>4544</v>
      </c>
      <c r="R77" s="151">
        <v>4412</v>
      </c>
      <c r="S77" s="132">
        <f t="shared" si="31"/>
        <v>836096</v>
      </c>
      <c r="T77" s="132">
        <f t="shared" si="32"/>
        <v>836096</v>
      </c>
      <c r="U77" s="132">
        <f t="shared" si="33"/>
        <v>0</v>
      </c>
      <c r="V77" s="132">
        <f t="shared" si="34"/>
        <v>0</v>
      </c>
      <c r="W77" s="132">
        <f t="shared" si="35"/>
        <v>0</v>
      </c>
      <c r="X77" s="132">
        <f t="shared" si="36"/>
        <v>836096</v>
      </c>
      <c r="Y77" s="139" t="s">
        <v>929</v>
      </c>
      <c r="Z77" s="393"/>
      <c r="AA77" s="104"/>
      <c r="AB77" s="104"/>
      <c r="AC77" s="521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</row>
    <row r="78" spans="1:215" s="139" customFormat="1" outlineLevel="2" x14ac:dyDescent="0.2">
      <c r="A78" s="495">
        <v>1</v>
      </c>
      <c r="B78" s="127">
        <v>10</v>
      </c>
      <c r="C78" s="129" t="s">
        <v>935</v>
      </c>
      <c r="D78" s="129" t="s">
        <v>943</v>
      </c>
      <c r="E78" s="184"/>
      <c r="F78" s="130" t="s">
        <v>607</v>
      </c>
      <c r="G78" s="135" t="s">
        <v>103</v>
      </c>
      <c r="H78" s="136" t="s">
        <v>8</v>
      </c>
      <c r="I78" s="134" t="s">
        <v>68</v>
      </c>
      <c r="J78" s="134">
        <v>4</v>
      </c>
      <c r="K78" s="129"/>
      <c r="L78" s="129"/>
      <c r="M78" s="141"/>
      <c r="N78" s="302">
        <f t="shared" si="30"/>
        <v>4</v>
      </c>
      <c r="O78" s="151">
        <v>1623</v>
      </c>
      <c r="P78" s="151">
        <v>1623</v>
      </c>
      <c r="Q78" s="620">
        <v>1623</v>
      </c>
      <c r="R78" s="151">
        <v>1576</v>
      </c>
      <c r="S78" s="132">
        <f t="shared" si="31"/>
        <v>6492</v>
      </c>
      <c r="T78" s="132">
        <f t="shared" si="32"/>
        <v>6492</v>
      </c>
      <c r="U78" s="132">
        <f t="shared" si="33"/>
        <v>0</v>
      </c>
      <c r="V78" s="132">
        <f t="shared" si="34"/>
        <v>0</v>
      </c>
      <c r="W78" s="132">
        <f t="shared" si="35"/>
        <v>0</v>
      </c>
      <c r="X78" s="132">
        <f t="shared" si="36"/>
        <v>6492</v>
      </c>
      <c r="Y78" s="139" t="s">
        <v>929</v>
      </c>
      <c r="Z78" s="393"/>
      <c r="AA78" s="104"/>
      <c r="AB78" s="104"/>
      <c r="AC78" s="521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</row>
    <row r="79" spans="1:215" s="139" customFormat="1" outlineLevel="2" x14ac:dyDescent="0.2">
      <c r="A79" s="495">
        <v>1</v>
      </c>
      <c r="B79" s="127">
        <v>10</v>
      </c>
      <c r="C79" s="129" t="s">
        <v>935</v>
      </c>
      <c r="D79" s="129" t="s">
        <v>944</v>
      </c>
      <c r="E79" s="184"/>
      <c r="F79" s="130" t="s">
        <v>607</v>
      </c>
      <c r="G79" s="135" t="s">
        <v>103</v>
      </c>
      <c r="H79" s="136" t="s">
        <v>8</v>
      </c>
      <c r="I79" s="134" t="s">
        <v>168</v>
      </c>
      <c r="J79" s="134">
        <v>3</v>
      </c>
      <c r="K79" s="129"/>
      <c r="L79" s="134"/>
      <c r="M79" s="141"/>
      <c r="N79" s="302">
        <f t="shared" si="30"/>
        <v>3</v>
      </c>
      <c r="O79" s="151">
        <v>4800</v>
      </c>
      <c r="P79" s="151">
        <v>4800</v>
      </c>
      <c r="Q79" s="620">
        <v>4800</v>
      </c>
      <c r="R79" s="151">
        <v>4660</v>
      </c>
      <c r="S79" s="132">
        <f t="shared" si="31"/>
        <v>14400</v>
      </c>
      <c r="T79" s="132">
        <f t="shared" si="32"/>
        <v>14400</v>
      </c>
      <c r="U79" s="132">
        <f t="shared" si="33"/>
        <v>0</v>
      </c>
      <c r="V79" s="132">
        <f t="shared" si="34"/>
        <v>0</v>
      </c>
      <c r="W79" s="132">
        <f t="shared" si="35"/>
        <v>0</v>
      </c>
      <c r="X79" s="132">
        <f t="shared" si="36"/>
        <v>14400</v>
      </c>
      <c r="Y79" s="139" t="s">
        <v>929</v>
      </c>
      <c r="Z79" s="393"/>
      <c r="AA79" s="104"/>
      <c r="AB79" s="104"/>
      <c r="AC79" s="521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</row>
    <row r="80" spans="1:215" s="152" customFormat="1" ht="12.75" customHeight="1" outlineLevel="2" x14ac:dyDescent="0.2">
      <c r="A80" s="495">
        <v>1</v>
      </c>
      <c r="B80" s="127">
        <v>11</v>
      </c>
      <c r="C80" s="156">
        <v>5</v>
      </c>
      <c r="D80" s="129" t="s">
        <v>691</v>
      </c>
      <c r="E80" s="184" t="s">
        <v>692</v>
      </c>
      <c r="F80" s="135" t="s">
        <v>151</v>
      </c>
      <c r="G80" s="135" t="s">
        <v>697</v>
      </c>
      <c r="H80" s="136" t="s">
        <v>8</v>
      </c>
      <c r="I80" s="134" t="s">
        <v>68</v>
      </c>
      <c r="J80" s="134"/>
      <c r="K80" s="134"/>
      <c r="L80" s="134"/>
      <c r="M80" s="134"/>
      <c r="N80" s="302">
        <f t="shared" ref="N80:N128" si="37">SUM(J80:M80)</f>
        <v>0</v>
      </c>
      <c r="O80" s="146">
        <v>4004</v>
      </c>
      <c r="P80" s="146">
        <v>4004</v>
      </c>
      <c r="Q80" s="622">
        <v>4004</v>
      </c>
      <c r="R80" s="146">
        <v>3887</v>
      </c>
      <c r="S80" s="132">
        <f t="shared" ref="S80:S84" si="38">SUMPRODUCT(J80:M80,O80:R80)</f>
        <v>0</v>
      </c>
      <c r="T80" s="132">
        <f t="shared" ref="T80:T84" si="39">IF(O80&gt;prisgrense,J80*prisgrense,J80*O80)</f>
        <v>0</v>
      </c>
      <c r="U80" s="132">
        <f t="shared" ref="U80:U84" si="40">IF(P80&gt;prisgrense,K80*prisgrense,K80*P80)</f>
        <v>0</v>
      </c>
      <c r="V80" s="132">
        <f t="shared" ref="V80:V84" si="41">IF(Q80&gt;prisgrense,L80*prisgrense,L80*Q80)</f>
        <v>0</v>
      </c>
      <c r="W80" s="132">
        <f t="shared" ref="W80:W84" si="42">IF(R80&gt;prisgrense,M80*prisgrense,M80*R80)</f>
        <v>0</v>
      </c>
      <c r="X80" s="132">
        <f t="shared" ref="X80:X84" si="43">SUM(T80:W80)</f>
        <v>0</v>
      </c>
      <c r="Y80" s="104" t="s">
        <v>687</v>
      </c>
      <c r="Z80" s="393"/>
      <c r="AA80" s="104"/>
      <c r="AB80" s="104"/>
      <c r="AC80" s="521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</row>
    <row r="81" spans="1:215" s="152" customFormat="1" ht="12.75" customHeight="1" outlineLevel="2" x14ac:dyDescent="0.2">
      <c r="A81" s="495">
        <v>1</v>
      </c>
      <c r="B81" s="127">
        <v>11</v>
      </c>
      <c r="C81" s="156">
        <v>5</v>
      </c>
      <c r="D81" s="129" t="s">
        <v>693</v>
      </c>
      <c r="E81" s="184" t="s">
        <v>694</v>
      </c>
      <c r="F81" s="135" t="s">
        <v>151</v>
      </c>
      <c r="G81" s="135" t="s">
        <v>697</v>
      </c>
      <c r="H81" s="136" t="s">
        <v>8</v>
      </c>
      <c r="I81" s="134" t="s">
        <v>168</v>
      </c>
      <c r="J81" s="134"/>
      <c r="K81" s="134"/>
      <c r="L81" s="134"/>
      <c r="M81" s="134"/>
      <c r="N81" s="302">
        <f t="shared" si="37"/>
        <v>0</v>
      </c>
      <c r="O81" s="146">
        <v>4004</v>
      </c>
      <c r="P81" s="146">
        <v>4004</v>
      </c>
      <c r="Q81" s="622">
        <v>4004</v>
      </c>
      <c r="R81" s="146">
        <v>3887</v>
      </c>
      <c r="S81" s="132">
        <f t="shared" si="38"/>
        <v>0</v>
      </c>
      <c r="T81" s="132">
        <f t="shared" si="39"/>
        <v>0</v>
      </c>
      <c r="U81" s="132">
        <f t="shared" si="40"/>
        <v>0</v>
      </c>
      <c r="V81" s="132">
        <f t="shared" si="41"/>
        <v>0</v>
      </c>
      <c r="W81" s="132">
        <f t="shared" si="42"/>
        <v>0</v>
      </c>
      <c r="X81" s="132">
        <f t="shared" si="43"/>
        <v>0</v>
      </c>
      <c r="Y81" s="104" t="s">
        <v>687</v>
      </c>
      <c r="Z81" s="393"/>
      <c r="AA81" s="104"/>
      <c r="AB81" s="104"/>
      <c r="AC81" s="521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104"/>
      <c r="GV81" s="104"/>
      <c r="GW81" s="104"/>
      <c r="GX81" s="104"/>
      <c r="GY81" s="104"/>
      <c r="GZ81" s="104"/>
      <c r="HA81" s="104"/>
      <c r="HB81" s="104"/>
      <c r="HC81" s="104"/>
      <c r="HD81" s="104"/>
      <c r="HE81" s="104"/>
      <c r="HF81" s="104"/>
      <c r="HG81" s="104"/>
    </row>
    <row r="82" spans="1:215" s="152" customFormat="1" ht="12.75" customHeight="1" outlineLevel="2" x14ac:dyDescent="0.2">
      <c r="A82" s="495">
        <v>1</v>
      </c>
      <c r="B82" s="127">
        <v>11</v>
      </c>
      <c r="C82" s="156">
        <v>5</v>
      </c>
      <c r="D82" s="129" t="s">
        <v>695</v>
      </c>
      <c r="E82" s="184" t="s">
        <v>696</v>
      </c>
      <c r="F82" s="135" t="s">
        <v>151</v>
      </c>
      <c r="G82" s="135" t="s">
        <v>697</v>
      </c>
      <c r="H82" s="136" t="s">
        <v>8</v>
      </c>
      <c r="I82" s="134" t="s">
        <v>168</v>
      </c>
      <c r="J82" s="134"/>
      <c r="K82" s="134"/>
      <c r="L82" s="134"/>
      <c r="M82" s="134"/>
      <c r="N82" s="302">
        <f t="shared" si="37"/>
        <v>0</v>
      </c>
      <c r="O82" s="146">
        <v>4004</v>
      </c>
      <c r="P82" s="146">
        <v>4004</v>
      </c>
      <c r="Q82" s="622">
        <v>4004</v>
      </c>
      <c r="R82" s="146">
        <v>3887</v>
      </c>
      <c r="S82" s="132">
        <f t="shared" si="38"/>
        <v>0</v>
      </c>
      <c r="T82" s="132">
        <f t="shared" si="39"/>
        <v>0</v>
      </c>
      <c r="U82" s="132">
        <f t="shared" si="40"/>
        <v>0</v>
      </c>
      <c r="V82" s="132">
        <f t="shared" si="41"/>
        <v>0</v>
      </c>
      <c r="W82" s="132">
        <f t="shared" si="42"/>
        <v>0</v>
      </c>
      <c r="X82" s="132">
        <f t="shared" si="43"/>
        <v>0</v>
      </c>
      <c r="Y82" s="104" t="s">
        <v>687</v>
      </c>
      <c r="Z82" s="393"/>
      <c r="AA82" s="104"/>
      <c r="AB82" s="104"/>
      <c r="AC82" s="521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</row>
    <row r="83" spans="1:215" s="152" customFormat="1" ht="12.75" customHeight="1" outlineLevel="2" x14ac:dyDescent="0.2">
      <c r="A83" s="495">
        <v>1</v>
      </c>
      <c r="B83" s="127">
        <v>11</v>
      </c>
      <c r="C83" s="156">
        <v>5</v>
      </c>
      <c r="D83" s="129" t="s">
        <v>660</v>
      </c>
      <c r="E83" s="184" t="s">
        <v>661</v>
      </c>
      <c r="F83" s="135" t="s">
        <v>151</v>
      </c>
      <c r="G83" s="135" t="s">
        <v>697</v>
      </c>
      <c r="H83" s="136" t="s">
        <v>9</v>
      </c>
      <c r="I83" s="134" t="s">
        <v>504</v>
      </c>
      <c r="J83" s="134"/>
      <c r="K83" s="134"/>
      <c r="L83" s="134"/>
      <c r="M83" s="134"/>
      <c r="N83" s="302">
        <f t="shared" si="37"/>
        <v>0</v>
      </c>
      <c r="O83" s="146">
        <v>4004</v>
      </c>
      <c r="P83" s="146">
        <v>4004</v>
      </c>
      <c r="Q83" s="622">
        <v>4004</v>
      </c>
      <c r="R83" s="146">
        <v>3887</v>
      </c>
      <c r="S83" s="132">
        <f t="shared" si="38"/>
        <v>0</v>
      </c>
      <c r="T83" s="132">
        <f t="shared" si="39"/>
        <v>0</v>
      </c>
      <c r="U83" s="132">
        <f t="shared" si="40"/>
        <v>0</v>
      </c>
      <c r="V83" s="132">
        <f t="shared" si="41"/>
        <v>0</v>
      </c>
      <c r="W83" s="132">
        <f t="shared" si="42"/>
        <v>0</v>
      </c>
      <c r="X83" s="132">
        <f t="shared" si="43"/>
        <v>0</v>
      </c>
      <c r="Y83" s="104" t="s">
        <v>687</v>
      </c>
      <c r="Z83" s="393"/>
      <c r="AA83" s="104"/>
      <c r="AB83" s="104"/>
      <c r="AC83" s="521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</row>
    <row r="84" spans="1:215" s="152" customFormat="1" ht="12.75" customHeight="1" outlineLevel="2" x14ac:dyDescent="0.2">
      <c r="A84" s="495">
        <v>1</v>
      </c>
      <c r="B84" s="127">
        <v>11</v>
      </c>
      <c r="C84" s="156">
        <v>5</v>
      </c>
      <c r="D84" s="129" t="s">
        <v>657</v>
      </c>
      <c r="E84" s="184" t="s">
        <v>658</v>
      </c>
      <c r="F84" s="135" t="s">
        <v>151</v>
      </c>
      <c r="G84" s="135" t="s">
        <v>697</v>
      </c>
      <c r="H84" s="136" t="s">
        <v>21</v>
      </c>
      <c r="I84" s="134" t="s">
        <v>504</v>
      </c>
      <c r="J84" s="134"/>
      <c r="K84" s="134"/>
      <c r="L84" s="134"/>
      <c r="M84" s="134"/>
      <c r="N84" s="302">
        <f t="shared" si="37"/>
        <v>0</v>
      </c>
      <c r="O84" s="146">
        <v>4004</v>
      </c>
      <c r="P84" s="146">
        <v>4004</v>
      </c>
      <c r="Q84" s="622">
        <v>4004</v>
      </c>
      <c r="R84" s="146">
        <v>3887</v>
      </c>
      <c r="S84" s="132">
        <f t="shared" si="38"/>
        <v>0</v>
      </c>
      <c r="T84" s="132">
        <f t="shared" si="39"/>
        <v>0</v>
      </c>
      <c r="U84" s="132">
        <f t="shared" si="40"/>
        <v>0</v>
      </c>
      <c r="V84" s="132">
        <f t="shared" si="41"/>
        <v>0</v>
      </c>
      <c r="W84" s="132">
        <f t="shared" si="42"/>
        <v>0</v>
      </c>
      <c r="X84" s="132">
        <f t="shared" si="43"/>
        <v>0</v>
      </c>
      <c r="Y84" s="104" t="s">
        <v>687</v>
      </c>
      <c r="Z84" s="393"/>
      <c r="AA84" s="104"/>
      <c r="AB84" s="104"/>
      <c r="AC84" s="521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</row>
    <row r="85" spans="1:215" ht="12.75" customHeight="1" outlineLevel="2" x14ac:dyDescent="0.2">
      <c r="A85" s="495">
        <v>1</v>
      </c>
      <c r="B85" s="127">
        <v>12</v>
      </c>
      <c r="C85" s="156">
        <v>7</v>
      </c>
      <c r="D85" s="129" t="s">
        <v>601</v>
      </c>
      <c r="E85" s="184" t="s">
        <v>602</v>
      </c>
      <c r="F85" s="135" t="s">
        <v>151</v>
      </c>
      <c r="G85" s="135" t="s">
        <v>697</v>
      </c>
      <c r="H85" s="159" t="s">
        <v>8</v>
      </c>
      <c r="I85" s="140" t="s">
        <v>68</v>
      </c>
      <c r="J85" s="140">
        <v>299</v>
      </c>
      <c r="K85" s="134"/>
      <c r="L85" s="134"/>
      <c r="M85" s="177"/>
      <c r="N85" s="302">
        <f t="shared" ref="N85:N90" si="44">SUM(J85:M85)</f>
        <v>299</v>
      </c>
      <c r="O85" s="146">
        <v>4770</v>
      </c>
      <c r="P85" s="146">
        <v>4770</v>
      </c>
      <c r="Q85" s="622">
        <v>4770</v>
      </c>
      <c r="R85" s="146">
        <v>4770</v>
      </c>
      <c r="S85" s="132">
        <f t="shared" ref="S85:S90" si="45">SUMPRODUCT(J85:M85,O85:R85)</f>
        <v>1426230</v>
      </c>
      <c r="T85" s="132">
        <f t="shared" ref="T85:T90" si="46">IF(O85&gt;prisgrense,J85*prisgrense,J85*O85)</f>
        <v>1426230</v>
      </c>
      <c r="U85" s="132">
        <f t="shared" ref="U85:U90" si="47">IF(P85&gt;prisgrense,K85*prisgrense,K85*P85)</f>
        <v>0</v>
      </c>
      <c r="V85" s="132">
        <f t="shared" ref="V85:V90" si="48">IF(Q85&gt;prisgrense,L85*prisgrense,L85*Q85)</f>
        <v>0</v>
      </c>
      <c r="W85" s="132">
        <f t="shared" ref="W85:W90" si="49">IF(R85&gt;prisgrense,M85*prisgrense,M85*R85)</f>
        <v>0</v>
      </c>
      <c r="X85" s="132">
        <f t="shared" ref="X85:X90" si="50">SUM(T85:W85)</f>
        <v>1426230</v>
      </c>
      <c r="Y85" s="139" t="s">
        <v>981</v>
      </c>
      <c r="Z85" s="393">
        <v>1</v>
      </c>
      <c r="AC85" s="521"/>
    </row>
    <row r="86" spans="1:215" ht="12.75" customHeight="1" outlineLevel="2" x14ac:dyDescent="0.2">
      <c r="A86" s="495">
        <v>1</v>
      </c>
      <c r="B86" s="127">
        <v>12</v>
      </c>
      <c r="C86" s="156">
        <v>7</v>
      </c>
      <c r="D86" s="129" t="s">
        <v>698</v>
      </c>
      <c r="E86" s="184" t="s">
        <v>699</v>
      </c>
      <c r="F86" s="135" t="s">
        <v>151</v>
      </c>
      <c r="G86" s="135" t="s">
        <v>697</v>
      </c>
      <c r="H86" s="159" t="s">
        <v>8</v>
      </c>
      <c r="I86" s="140" t="s">
        <v>68</v>
      </c>
      <c r="J86" s="140">
        <v>466</v>
      </c>
      <c r="K86" s="140"/>
      <c r="L86" s="140"/>
      <c r="M86" s="340"/>
      <c r="N86" s="302">
        <f t="shared" si="44"/>
        <v>466</v>
      </c>
      <c r="O86" s="146">
        <v>4770</v>
      </c>
      <c r="P86" s="146">
        <v>4770</v>
      </c>
      <c r="Q86" s="622">
        <v>4770</v>
      </c>
      <c r="R86" s="146">
        <v>4770</v>
      </c>
      <c r="S86" s="132">
        <f t="shared" si="45"/>
        <v>2222820</v>
      </c>
      <c r="T86" s="132">
        <f t="shared" si="46"/>
        <v>2222820</v>
      </c>
      <c r="U86" s="132">
        <f t="shared" si="47"/>
        <v>0</v>
      </c>
      <c r="V86" s="132">
        <f t="shared" si="48"/>
        <v>0</v>
      </c>
      <c r="W86" s="132">
        <f t="shared" si="49"/>
        <v>0</v>
      </c>
      <c r="X86" s="132">
        <f t="shared" si="50"/>
        <v>2222820</v>
      </c>
      <c r="Y86" s="139" t="s">
        <v>981</v>
      </c>
      <c r="Z86" s="393">
        <v>1</v>
      </c>
      <c r="AC86" s="521"/>
    </row>
    <row r="87" spans="1:215" ht="12.75" customHeight="1" outlineLevel="2" x14ac:dyDescent="0.2">
      <c r="A87" s="495">
        <v>1</v>
      </c>
      <c r="B87" s="127">
        <v>12</v>
      </c>
      <c r="C87" s="156">
        <v>7</v>
      </c>
      <c r="D87" s="129" t="s">
        <v>700</v>
      </c>
      <c r="E87" s="184" t="s">
        <v>701</v>
      </c>
      <c r="F87" s="135" t="s">
        <v>151</v>
      </c>
      <c r="G87" s="135" t="s">
        <v>697</v>
      </c>
      <c r="H87" s="159" t="s">
        <v>8</v>
      </c>
      <c r="I87" s="140" t="s">
        <v>168</v>
      </c>
      <c r="J87" s="140">
        <v>9</v>
      </c>
      <c r="K87" s="140"/>
      <c r="L87" s="140"/>
      <c r="M87" s="340"/>
      <c r="N87" s="302">
        <f t="shared" si="44"/>
        <v>9</v>
      </c>
      <c r="O87" s="146">
        <v>4770</v>
      </c>
      <c r="P87" s="146">
        <v>4770</v>
      </c>
      <c r="Q87" s="622">
        <v>4770</v>
      </c>
      <c r="R87" s="146">
        <v>4770</v>
      </c>
      <c r="S87" s="132">
        <f t="shared" si="45"/>
        <v>42930</v>
      </c>
      <c r="T87" s="132">
        <f t="shared" si="46"/>
        <v>42930</v>
      </c>
      <c r="U87" s="132">
        <f t="shared" si="47"/>
        <v>0</v>
      </c>
      <c r="V87" s="132">
        <f t="shared" si="48"/>
        <v>0</v>
      </c>
      <c r="W87" s="132">
        <f t="shared" si="49"/>
        <v>0</v>
      </c>
      <c r="X87" s="132">
        <f t="shared" si="50"/>
        <v>42930</v>
      </c>
      <c r="Y87" s="139" t="s">
        <v>981</v>
      </c>
      <c r="Z87" s="393">
        <v>1</v>
      </c>
      <c r="AC87" s="521"/>
    </row>
    <row r="88" spans="1:215" ht="12.75" customHeight="1" outlineLevel="2" x14ac:dyDescent="0.2">
      <c r="A88" s="495">
        <v>1</v>
      </c>
      <c r="B88" s="127">
        <v>12</v>
      </c>
      <c r="C88" s="156">
        <v>7</v>
      </c>
      <c r="D88" s="129" t="s">
        <v>603</v>
      </c>
      <c r="E88" s="184" t="s">
        <v>604</v>
      </c>
      <c r="F88" s="135" t="s">
        <v>151</v>
      </c>
      <c r="G88" s="135" t="s">
        <v>697</v>
      </c>
      <c r="H88" s="159" t="s">
        <v>8</v>
      </c>
      <c r="I88" s="140" t="s">
        <v>168</v>
      </c>
      <c r="J88" s="140"/>
      <c r="K88" s="140"/>
      <c r="L88" s="140"/>
      <c r="M88" s="340"/>
      <c r="N88" s="302">
        <f t="shared" si="44"/>
        <v>0</v>
      </c>
      <c r="O88" s="146">
        <v>4770</v>
      </c>
      <c r="P88" s="146">
        <v>4770</v>
      </c>
      <c r="Q88" s="622">
        <v>4770</v>
      </c>
      <c r="R88" s="146">
        <v>4770</v>
      </c>
      <c r="S88" s="132">
        <f t="shared" si="45"/>
        <v>0</v>
      </c>
      <c r="T88" s="132">
        <f t="shared" si="46"/>
        <v>0</v>
      </c>
      <c r="U88" s="132">
        <f t="shared" si="47"/>
        <v>0</v>
      </c>
      <c r="V88" s="132">
        <f t="shared" si="48"/>
        <v>0</v>
      </c>
      <c r="W88" s="132">
        <f t="shared" si="49"/>
        <v>0</v>
      </c>
      <c r="X88" s="132">
        <f t="shared" si="50"/>
        <v>0</v>
      </c>
      <c r="Y88" s="139" t="s">
        <v>981</v>
      </c>
      <c r="Z88" s="393">
        <v>1</v>
      </c>
      <c r="AC88" s="521"/>
    </row>
    <row r="89" spans="1:215" ht="12.75" customHeight="1" outlineLevel="2" x14ac:dyDescent="0.2">
      <c r="A89" s="495">
        <v>1</v>
      </c>
      <c r="B89" s="127">
        <v>12</v>
      </c>
      <c r="C89" s="156">
        <v>7</v>
      </c>
      <c r="D89" s="129" t="s">
        <v>664</v>
      </c>
      <c r="E89" s="184" t="s">
        <v>665</v>
      </c>
      <c r="F89" s="135" t="s">
        <v>151</v>
      </c>
      <c r="G89" s="135" t="s">
        <v>697</v>
      </c>
      <c r="H89" s="159" t="s">
        <v>9</v>
      </c>
      <c r="I89" s="140" t="s">
        <v>504</v>
      </c>
      <c r="J89" s="140">
        <v>159</v>
      </c>
      <c r="K89" s="140"/>
      <c r="L89" s="140"/>
      <c r="M89" s="340"/>
      <c r="N89" s="302">
        <f t="shared" si="44"/>
        <v>159</v>
      </c>
      <c r="O89" s="146">
        <v>4770</v>
      </c>
      <c r="P89" s="146">
        <v>4770</v>
      </c>
      <c r="Q89" s="622">
        <v>4770</v>
      </c>
      <c r="R89" s="146">
        <v>4770</v>
      </c>
      <c r="S89" s="132">
        <f t="shared" si="45"/>
        <v>758430</v>
      </c>
      <c r="T89" s="132">
        <f t="shared" si="46"/>
        <v>758430</v>
      </c>
      <c r="U89" s="132">
        <f t="shared" si="47"/>
        <v>0</v>
      </c>
      <c r="V89" s="132">
        <f t="shared" si="48"/>
        <v>0</v>
      </c>
      <c r="W89" s="132">
        <f t="shared" si="49"/>
        <v>0</v>
      </c>
      <c r="X89" s="132">
        <f t="shared" si="50"/>
        <v>758430</v>
      </c>
      <c r="Y89" s="139" t="s">
        <v>981</v>
      </c>
      <c r="Z89" s="393">
        <v>1</v>
      </c>
      <c r="AC89" s="521"/>
    </row>
    <row r="90" spans="1:215" ht="12.75" customHeight="1" outlineLevel="2" x14ac:dyDescent="0.2">
      <c r="A90" s="495">
        <v>1</v>
      </c>
      <c r="B90" s="127">
        <v>12</v>
      </c>
      <c r="C90" s="156">
        <v>7</v>
      </c>
      <c r="D90" s="129" t="s">
        <v>662</v>
      </c>
      <c r="E90" s="184" t="s">
        <v>663</v>
      </c>
      <c r="F90" s="135" t="s">
        <v>151</v>
      </c>
      <c r="G90" s="135" t="s">
        <v>697</v>
      </c>
      <c r="H90" s="159" t="s">
        <v>21</v>
      </c>
      <c r="I90" s="140" t="s">
        <v>504</v>
      </c>
      <c r="J90" s="140">
        <v>23</v>
      </c>
      <c r="K90" s="140"/>
      <c r="L90" s="140"/>
      <c r="M90" s="340"/>
      <c r="N90" s="302">
        <f t="shared" si="44"/>
        <v>23</v>
      </c>
      <c r="O90" s="146">
        <v>4770</v>
      </c>
      <c r="P90" s="146">
        <v>4770</v>
      </c>
      <c r="Q90" s="622">
        <v>4770</v>
      </c>
      <c r="R90" s="146">
        <v>4770</v>
      </c>
      <c r="S90" s="132">
        <f t="shared" si="45"/>
        <v>109710</v>
      </c>
      <c r="T90" s="132">
        <f t="shared" si="46"/>
        <v>109710</v>
      </c>
      <c r="U90" s="132">
        <f t="shared" si="47"/>
        <v>0</v>
      </c>
      <c r="V90" s="132">
        <f t="shared" si="48"/>
        <v>0</v>
      </c>
      <c r="W90" s="132">
        <f t="shared" si="49"/>
        <v>0</v>
      </c>
      <c r="X90" s="132">
        <f t="shared" si="50"/>
        <v>109710</v>
      </c>
      <c r="Y90" s="139" t="s">
        <v>981</v>
      </c>
      <c r="Z90" s="393">
        <v>1</v>
      </c>
      <c r="AC90" s="521"/>
    </row>
    <row r="91" spans="1:215" ht="12.75" customHeight="1" outlineLevel="2" x14ac:dyDescent="0.2">
      <c r="A91" s="495">
        <v>1</v>
      </c>
      <c r="B91" s="127">
        <v>12</v>
      </c>
      <c r="C91" s="156">
        <v>7</v>
      </c>
      <c r="D91" s="129" t="s">
        <v>842</v>
      </c>
      <c r="E91" s="320" t="s">
        <v>983</v>
      </c>
      <c r="F91" s="135" t="s">
        <v>151</v>
      </c>
      <c r="G91" s="170"/>
      <c r="H91" s="159" t="s">
        <v>8</v>
      </c>
      <c r="I91" s="140" t="s">
        <v>68</v>
      </c>
      <c r="J91" s="140">
        <v>279</v>
      </c>
      <c r="K91" s="140"/>
      <c r="L91" s="537"/>
      <c r="M91" s="340"/>
      <c r="N91" s="302">
        <f t="shared" ref="N91:N96" si="51">SUM(J91:M91)</f>
        <v>279</v>
      </c>
      <c r="O91" s="146">
        <v>4770</v>
      </c>
      <c r="P91" s="146">
        <v>4770</v>
      </c>
      <c r="Q91" s="622">
        <v>4770</v>
      </c>
      <c r="R91" s="146">
        <v>4770</v>
      </c>
      <c r="S91" s="132">
        <f t="shared" ref="S91:S96" si="52">SUMPRODUCT(J91:M91,O91:R91)</f>
        <v>1330830</v>
      </c>
      <c r="T91" s="132">
        <f t="shared" ref="T91:T96" si="53">IF(O91&gt;prisgrense,J91*prisgrense,J91*O91)</f>
        <v>1330830</v>
      </c>
      <c r="U91" s="132">
        <f t="shared" ref="U91:U96" si="54">IF(P91&gt;prisgrense,K91*prisgrense,K91*P91)</f>
        <v>0</v>
      </c>
      <c r="V91" s="132">
        <f t="shared" ref="V91:V96" si="55">IF(Q91&gt;prisgrense,L91*prisgrense,L91*Q91)</f>
        <v>0</v>
      </c>
      <c r="W91" s="132">
        <f t="shared" ref="W91:W96" si="56">IF(R91&gt;prisgrense,M91*prisgrense,M91*R91)</f>
        <v>0</v>
      </c>
      <c r="X91" s="132">
        <f t="shared" ref="X91:X96" si="57">SUM(T91:W91)</f>
        <v>1330830</v>
      </c>
      <c r="Y91" s="139" t="s">
        <v>982</v>
      </c>
      <c r="AC91" s="521"/>
    </row>
    <row r="92" spans="1:215" ht="12.75" customHeight="1" outlineLevel="2" x14ac:dyDescent="0.2">
      <c r="A92" s="495">
        <v>1</v>
      </c>
      <c r="B92" s="127">
        <v>12</v>
      </c>
      <c r="C92" s="156">
        <v>7</v>
      </c>
      <c r="D92" s="129" t="s">
        <v>984</v>
      </c>
      <c r="E92" s="320" t="s">
        <v>985</v>
      </c>
      <c r="F92" s="135" t="s">
        <v>151</v>
      </c>
      <c r="G92" s="170"/>
      <c r="H92" s="159" t="s">
        <v>8</v>
      </c>
      <c r="I92" s="140" t="s">
        <v>68</v>
      </c>
      <c r="J92" s="140">
        <v>2186</v>
      </c>
      <c r="K92" s="140"/>
      <c r="L92" s="537"/>
      <c r="M92" s="340"/>
      <c r="N92" s="302">
        <f t="shared" si="51"/>
        <v>2186</v>
      </c>
      <c r="O92" s="146">
        <v>4770</v>
      </c>
      <c r="P92" s="146">
        <v>4770</v>
      </c>
      <c r="Q92" s="622">
        <v>4770</v>
      </c>
      <c r="R92" s="146">
        <v>4770</v>
      </c>
      <c r="S92" s="132">
        <f t="shared" si="52"/>
        <v>10427220</v>
      </c>
      <c r="T92" s="132">
        <f t="shared" si="53"/>
        <v>10427220</v>
      </c>
      <c r="U92" s="132">
        <f t="shared" si="54"/>
        <v>0</v>
      </c>
      <c r="V92" s="132">
        <f t="shared" si="55"/>
        <v>0</v>
      </c>
      <c r="W92" s="132">
        <f t="shared" si="56"/>
        <v>0</v>
      </c>
      <c r="X92" s="132">
        <f t="shared" si="57"/>
        <v>10427220</v>
      </c>
      <c r="Y92" s="139" t="s">
        <v>982</v>
      </c>
      <c r="AC92" s="521"/>
    </row>
    <row r="93" spans="1:215" ht="12.75" customHeight="1" outlineLevel="2" x14ac:dyDescent="0.2">
      <c r="A93" s="495">
        <v>1</v>
      </c>
      <c r="B93" s="127">
        <v>12</v>
      </c>
      <c r="C93" s="156">
        <v>7</v>
      </c>
      <c r="D93" s="129" t="s">
        <v>844</v>
      </c>
      <c r="E93" s="320" t="s">
        <v>986</v>
      </c>
      <c r="F93" s="135" t="s">
        <v>151</v>
      </c>
      <c r="G93" s="170"/>
      <c r="H93" s="159" t="s">
        <v>8</v>
      </c>
      <c r="I93" s="140" t="s">
        <v>168</v>
      </c>
      <c r="J93" s="140">
        <v>171</v>
      </c>
      <c r="K93" s="140"/>
      <c r="L93" s="537"/>
      <c r="M93" s="340"/>
      <c r="N93" s="302">
        <f t="shared" si="51"/>
        <v>171</v>
      </c>
      <c r="O93" s="146">
        <v>4770</v>
      </c>
      <c r="P93" s="146">
        <v>4770</v>
      </c>
      <c r="Q93" s="622">
        <v>4770</v>
      </c>
      <c r="R93" s="146">
        <v>4770</v>
      </c>
      <c r="S93" s="132">
        <f t="shared" si="52"/>
        <v>815670</v>
      </c>
      <c r="T93" s="132">
        <f t="shared" si="53"/>
        <v>815670</v>
      </c>
      <c r="U93" s="132">
        <f t="shared" si="54"/>
        <v>0</v>
      </c>
      <c r="V93" s="132">
        <f t="shared" si="55"/>
        <v>0</v>
      </c>
      <c r="W93" s="132">
        <f t="shared" si="56"/>
        <v>0</v>
      </c>
      <c r="X93" s="132">
        <f t="shared" si="57"/>
        <v>815670</v>
      </c>
      <c r="Y93" s="139" t="s">
        <v>982</v>
      </c>
      <c r="AC93" s="521"/>
    </row>
    <row r="94" spans="1:215" ht="12.75" customHeight="1" outlineLevel="2" x14ac:dyDescent="0.2">
      <c r="A94" s="495">
        <v>1</v>
      </c>
      <c r="B94" s="127">
        <v>12</v>
      </c>
      <c r="C94" s="156">
        <v>7</v>
      </c>
      <c r="D94" s="129" t="s">
        <v>987</v>
      </c>
      <c r="E94" s="320" t="s">
        <v>988</v>
      </c>
      <c r="F94" s="135" t="s">
        <v>151</v>
      </c>
      <c r="G94" s="170"/>
      <c r="H94" s="159" t="s">
        <v>8</v>
      </c>
      <c r="I94" s="140" t="s">
        <v>168</v>
      </c>
      <c r="J94" s="140">
        <v>190</v>
      </c>
      <c r="K94" s="140"/>
      <c r="L94" s="537"/>
      <c r="M94" s="340"/>
      <c r="N94" s="302">
        <f t="shared" si="51"/>
        <v>190</v>
      </c>
      <c r="O94" s="146">
        <v>4770</v>
      </c>
      <c r="P94" s="146">
        <v>4770</v>
      </c>
      <c r="Q94" s="622">
        <v>4770</v>
      </c>
      <c r="R94" s="146">
        <v>4770</v>
      </c>
      <c r="S94" s="132">
        <f t="shared" si="52"/>
        <v>906300</v>
      </c>
      <c r="T94" s="132">
        <f t="shared" si="53"/>
        <v>906300</v>
      </c>
      <c r="U94" s="132">
        <f t="shared" si="54"/>
        <v>0</v>
      </c>
      <c r="V94" s="132">
        <f t="shared" si="55"/>
        <v>0</v>
      </c>
      <c r="W94" s="132">
        <f t="shared" si="56"/>
        <v>0</v>
      </c>
      <c r="X94" s="132">
        <f t="shared" si="57"/>
        <v>906300</v>
      </c>
      <c r="Y94" s="139" t="s">
        <v>982</v>
      </c>
      <c r="AC94" s="521"/>
    </row>
    <row r="95" spans="1:215" ht="12.75" customHeight="1" outlineLevel="2" x14ac:dyDescent="0.2">
      <c r="A95" s="495">
        <v>1</v>
      </c>
      <c r="B95" s="127">
        <v>12</v>
      </c>
      <c r="C95" s="156">
        <v>7</v>
      </c>
      <c r="D95" s="129" t="s">
        <v>989</v>
      </c>
      <c r="E95" s="320" t="s">
        <v>990</v>
      </c>
      <c r="F95" s="135" t="s">
        <v>151</v>
      </c>
      <c r="G95" s="170"/>
      <c r="H95" s="159" t="s">
        <v>9</v>
      </c>
      <c r="I95" s="140" t="s">
        <v>504</v>
      </c>
      <c r="J95" s="140">
        <v>52</v>
      </c>
      <c r="K95" s="140"/>
      <c r="L95" s="537"/>
      <c r="M95" s="340"/>
      <c r="N95" s="302">
        <f t="shared" si="51"/>
        <v>52</v>
      </c>
      <c r="O95" s="146">
        <v>4770</v>
      </c>
      <c r="P95" s="146">
        <v>4770</v>
      </c>
      <c r="Q95" s="622">
        <v>4770</v>
      </c>
      <c r="R95" s="146">
        <v>4770</v>
      </c>
      <c r="S95" s="132">
        <f t="shared" si="52"/>
        <v>248040</v>
      </c>
      <c r="T95" s="132">
        <f t="shared" si="53"/>
        <v>248040</v>
      </c>
      <c r="U95" s="132">
        <f t="shared" si="54"/>
        <v>0</v>
      </c>
      <c r="V95" s="132">
        <f t="shared" si="55"/>
        <v>0</v>
      </c>
      <c r="W95" s="132">
        <f t="shared" si="56"/>
        <v>0</v>
      </c>
      <c r="X95" s="132">
        <f t="shared" si="57"/>
        <v>248040</v>
      </c>
      <c r="Y95" s="139" t="s">
        <v>982</v>
      </c>
      <c r="AC95" s="521"/>
    </row>
    <row r="96" spans="1:215" ht="12.75" customHeight="1" outlineLevel="2" x14ac:dyDescent="0.2">
      <c r="A96" s="495">
        <v>1</v>
      </c>
      <c r="B96" s="127">
        <v>12</v>
      </c>
      <c r="C96" s="156">
        <v>7</v>
      </c>
      <c r="D96" s="129" t="s">
        <v>991</v>
      </c>
      <c r="E96" s="320" t="s">
        <v>992</v>
      </c>
      <c r="F96" s="135" t="s">
        <v>151</v>
      </c>
      <c r="G96" s="170"/>
      <c r="H96" s="159" t="s">
        <v>21</v>
      </c>
      <c r="I96" s="140" t="s">
        <v>504</v>
      </c>
      <c r="J96" s="140"/>
      <c r="K96" s="140"/>
      <c r="L96" s="537"/>
      <c r="M96" s="340"/>
      <c r="N96" s="302">
        <f t="shared" si="51"/>
        <v>0</v>
      </c>
      <c r="O96" s="146">
        <v>4770</v>
      </c>
      <c r="P96" s="146">
        <v>4770</v>
      </c>
      <c r="Q96" s="622">
        <v>4770</v>
      </c>
      <c r="R96" s="146">
        <v>4770</v>
      </c>
      <c r="S96" s="132">
        <f t="shared" si="52"/>
        <v>0</v>
      </c>
      <c r="T96" s="132">
        <f t="shared" si="53"/>
        <v>0</v>
      </c>
      <c r="U96" s="132">
        <f t="shared" si="54"/>
        <v>0</v>
      </c>
      <c r="V96" s="132">
        <f t="shared" si="55"/>
        <v>0</v>
      </c>
      <c r="W96" s="132">
        <f t="shared" si="56"/>
        <v>0</v>
      </c>
      <c r="X96" s="132">
        <f t="shared" si="57"/>
        <v>0</v>
      </c>
      <c r="Y96" s="139" t="s">
        <v>982</v>
      </c>
      <c r="AC96" s="521"/>
    </row>
    <row r="97" spans="1:215" ht="12.75" customHeight="1" outlineLevel="2" x14ac:dyDescent="0.2">
      <c r="A97" s="495">
        <v>1</v>
      </c>
      <c r="B97" s="530">
        <v>13</v>
      </c>
      <c r="C97" s="128" t="s">
        <v>763</v>
      </c>
      <c r="D97" s="128" t="s">
        <v>764</v>
      </c>
      <c r="E97" s="361">
        <v>19706100</v>
      </c>
      <c r="F97" s="130" t="s">
        <v>817</v>
      </c>
      <c r="G97" s="191" t="s">
        <v>58</v>
      </c>
      <c r="H97" s="161" t="s">
        <v>8</v>
      </c>
      <c r="I97" s="140" t="s">
        <v>168</v>
      </c>
      <c r="J97" s="140">
        <v>302</v>
      </c>
      <c r="K97" s="140"/>
      <c r="L97" s="537"/>
      <c r="M97" s="340"/>
      <c r="N97" s="302">
        <f t="shared" si="37"/>
        <v>302</v>
      </c>
      <c r="O97" s="149">
        <v>4851</v>
      </c>
      <c r="P97" s="149">
        <v>4851</v>
      </c>
      <c r="Q97" s="619">
        <v>4851</v>
      </c>
      <c r="R97" s="149">
        <v>4710</v>
      </c>
      <c r="S97" s="132">
        <f t="shared" ref="S97:S100" si="58">SUMPRODUCT(J97:M97,O97:R97)</f>
        <v>1465002</v>
      </c>
      <c r="T97" s="132">
        <f t="shared" ref="T97:T100" si="59">IF(O97&gt;prisgrense,J97*prisgrense,J97*O97)</f>
        <v>1459264</v>
      </c>
      <c r="U97" s="132">
        <f t="shared" ref="U97:U100" si="60">IF(P97&gt;prisgrense,K97*prisgrense,K97*P97)</f>
        <v>0</v>
      </c>
      <c r="V97" s="132">
        <f t="shared" ref="V97:V100" si="61">IF(Q97&gt;prisgrense,L97*prisgrense,L97*Q97)</f>
        <v>0</v>
      </c>
      <c r="W97" s="132">
        <f t="shared" ref="W97:W100" si="62">IF(R97&gt;prisgrense,M97*prisgrense,M97*R97)</f>
        <v>0</v>
      </c>
      <c r="X97" s="132">
        <f t="shared" ref="X97:X100" si="63">SUM(T97:W97)</f>
        <v>1459264</v>
      </c>
      <c r="Y97" s="104" t="s">
        <v>762</v>
      </c>
      <c r="AC97" s="521"/>
    </row>
    <row r="98" spans="1:215" ht="12.75" customHeight="1" outlineLevel="2" x14ac:dyDescent="0.2">
      <c r="A98" s="495">
        <v>1</v>
      </c>
      <c r="B98" s="127">
        <v>13</v>
      </c>
      <c r="C98" s="531" t="s">
        <v>763</v>
      </c>
      <c r="D98" s="538" t="s">
        <v>765</v>
      </c>
      <c r="E98" s="539">
        <v>19706800</v>
      </c>
      <c r="F98" s="130" t="s">
        <v>817</v>
      </c>
      <c r="G98" s="533" t="s">
        <v>58</v>
      </c>
      <c r="H98" s="534" t="s">
        <v>8</v>
      </c>
      <c r="I98" s="535" t="s">
        <v>68</v>
      </c>
      <c r="J98" s="535">
        <v>641</v>
      </c>
      <c r="K98" s="535"/>
      <c r="L98" s="140"/>
      <c r="M98" s="340"/>
      <c r="N98" s="302">
        <f t="shared" si="37"/>
        <v>641</v>
      </c>
      <c r="O98" s="149">
        <v>4851</v>
      </c>
      <c r="P98" s="149">
        <v>4851</v>
      </c>
      <c r="Q98" s="619">
        <v>4851</v>
      </c>
      <c r="R98" s="149">
        <v>4710</v>
      </c>
      <c r="S98" s="132">
        <f t="shared" si="58"/>
        <v>3109491</v>
      </c>
      <c r="T98" s="132">
        <f t="shared" si="59"/>
        <v>3097312</v>
      </c>
      <c r="U98" s="132">
        <f t="shared" si="60"/>
        <v>0</v>
      </c>
      <c r="V98" s="132">
        <f t="shared" si="61"/>
        <v>0</v>
      </c>
      <c r="W98" s="132">
        <f t="shared" si="62"/>
        <v>0</v>
      </c>
      <c r="X98" s="132">
        <f t="shared" si="63"/>
        <v>3097312</v>
      </c>
      <c r="Y98" s="104" t="s">
        <v>762</v>
      </c>
      <c r="AC98" s="521"/>
    </row>
    <row r="99" spans="1:215" ht="12.75" customHeight="1" outlineLevel="2" x14ac:dyDescent="0.2">
      <c r="A99" s="495">
        <v>1</v>
      </c>
      <c r="B99" s="127">
        <v>13</v>
      </c>
      <c r="C99" s="531" t="s">
        <v>763</v>
      </c>
      <c r="D99" s="532" t="s">
        <v>766</v>
      </c>
      <c r="E99" s="184" t="s">
        <v>767</v>
      </c>
      <c r="F99" s="130" t="s">
        <v>817</v>
      </c>
      <c r="G99" s="533" t="s">
        <v>58</v>
      </c>
      <c r="H99" s="534" t="s">
        <v>9</v>
      </c>
      <c r="I99" s="535" t="s">
        <v>504</v>
      </c>
      <c r="J99" s="535">
        <v>49</v>
      </c>
      <c r="K99" s="535"/>
      <c r="L99" s="140"/>
      <c r="M99" s="340"/>
      <c r="N99" s="302">
        <f t="shared" si="37"/>
        <v>49</v>
      </c>
      <c r="O99" s="149">
        <v>1623</v>
      </c>
      <c r="P99" s="149">
        <v>1623</v>
      </c>
      <c r="Q99" s="619">
        <v>1623</v>
      </c>
      <c r="R99" s="149">
        <v>1576</v>
      </c>
      <c r="S99" s="132">
        <f t="shared" si="58"/>
        <v>79527</v>
      </c>
      <c r="T99" s="132">
        <f t="shared" si="59"/>
        <v>79527</v>
      </c>
      <c r="U99" s="132">
        <f t="shared" si="60"/>
        <v>0</v>
      </c>
      <c r="V99" s="132">
        <f t="shared" si="61"/>
        <v>0</v>
      </c>
      <c r="W99" s="132">
        <f t="shared" si="62"/>
        <v>0</v>
      </c>
      <c r="X99" s="132">
        <f t="shared" si="63"/>
        <v>79527</v>
      </c>
      <c r="Y99" s="104" t="s">
        <v>762</v>
      </c>
      <c r="AC99" s="521"/>
    </row>
    <row r="100" spans="1:215" ht="12.75" customHeight="1" outlineLevel="2" x14ac:dyDescent="0.2">
      <c r="A100" s="495">
        <v>1</v>
      </c>
      <c r="B100" s="127">
        <v>13</v>
      </c>
      <c r="C100" s="531" t="s">
        <v>763</v>
      </c>
      <c r="D100" s="532" t="s">
        <v>768</v>
      </c>
      <c r="E100" s="184" t="s">
        <v>769</v>
      </c>
      <c r="F100" s="130" t="s">
        <v>817</v>
      </c>
      <c r="G100" s="533" t="s">
        <v>58</v>
      </c>
      <c r="H100" s="136" t="s">
        <v>1004</v>
      </c>
      <c r="I100" s="535" t="s">
        <v>504</v>
      </c>
      <c r="J100" s="535">
        <v>7</v>
      </c>
      <c r="K100" s="535"/>
      <c r="L100" s="140"/>
      <c r="M100" s="340"/>
      <c r="N100" s="302">
        <f t="shared" si="37"/>
        <v>7</v>
      </c>
      <c r="O100" s="149">
        <v>1623</v>
      </c>
      <c r="P100" s="149">
        <v>1623</v>
      </c>
      <c r="Q100" s="619">
        <v>1623</v>
      </c>
      <c r="R100" s="149">
        <v>1576</v>
      </c>
      <c r="S100" s="132">
        <f t="shared" si="58"/>
        <v>11361</v>
      </c>
      <c r="T100" s="132">
        <f t="shared" si="59"/>
        <v>11361</v>
      </c>
      <c r="U100" s="132">
        <f t="shared" si="60"/>
        <v>0</v>
      </c>
      <c r="V100" s="132">
        <f t="shared" si="61"/>
        <v>0</v>
      </c>
      <c r="W100" s="132">
        <f t="shared" si="62"/>
        <v>0</v>
      </c>
      <c r="X100" s="132">
        <f t="shared" si="63"/>
        <v>11361</v>
      </c>
      <c r="Y100" s="104" t="s">
        <v>762</v>
      </c>
      <c r="AC100" s="521"/>
    </row>
    <row r="101" spans="1:215" ht="12.75" customHeight="1" outlineLevel="2" x14ac:dyDescent="0.2">
      <c r="A101" s="495">
        <v>1</v>
      </c>
      <c r="B101" s="127">
        <v>14</v>
      </c>
      <c r="C101" s="531" t="s">
        <v>264</v>
      </c>
      <c r="D101" s="532" t="s">
        <v>152</v>
      </c>
      <c r="E101" s="184">
        <v>18972100</v>
      </c>
      <c r="F101" s="130" t="s">
        <v>817</v>
      </c>
      <c r="G101" s="533" t="s">
        <v>58</v>
      </c>
      <c r="H101" s="534" t="s">
        <v>8</v>
      </c>
      <c r="I101" s="535" t="s">
        <v>128</v>
      </c>
      <c r="J101" s="535">
        <v>2</v>
      </c>
      <c r="K101" s="535"/>
      <c r="L101" s="140"/>
      <c r="M101" s="340"/>
      <c r="N101" s="302">
        <f t="shared" si="37"/>
        <v>2</v>
      </c>
      <c r="O101" s="149">
        <v>3246</v>
      </c>
      <c r="P101" s="149">
        <v>3246</v>
      </c>
      <c r="Q101" s="619">
        <v>3246</v>
      </c>
      <c r="R101" s="149">
        <v>3151</v>
      </c>
      <c r="S101" s="132">
        <f t="shared" ref="S101:S129" si="64">SUMPRODUCT(J101:M101,O101:R101)</f>
        <v>6492</v>
      </c>
      <c r="T101" s="132">
        <f t="shared" ref="T101:W104" si="65">IF(O101&gt;prisgrense,J101*prisgrense,J101*O101)</f>
        <v>6492</v>
      </c>
      <c r="U101" s="132">
        <f t="shared" si="65"/>
        <v>0</v>
      </c>
      <c r="V101" s="132">
        <f t="shared" si="65"/>
        <v>0</v>
      </c>
      <c r="W101" s="132">
        <f t="shared" si="65"/>
        <v>0</v>
      </c>
      <c r="X101" s="132">
        <f t="shared" ref="X101:X129" si="66">SUM(T101:W101)</f>
        <v>6492</v>
      </c>
      <c r="Y101" s="104"/>
      <c r="AC101" s="521"/>
    </row>
    <row r="102" spans="1:215" s="139" customFormat="1" ht="12.75" customHeight="1" outlineLevel="2" x14ac:dyDescent="0.2">
      <c r="A102" s="495">
        <v>1</v>
      </c>
      <c r="B102" s="127">
        <v>14</v>
      </c>
      <c r="C102" s="129" t="s">
        <v>264</v>
      </c>
      <c r="D102" s="162" t="s">
        <v>155</v>
      </c>
      <c r="E102" s="184">
        <v>19396900</v>
      </c>
      <c r="F102" s="130" t="s">
        <v>817</v>
      </c>
      <c r="G102" s="143" t="s">
        <v>58</v>
      </c>
      <c r="H102" s="161" t="s">
        <v>8</v>
      </c>
      <c r="I102" s="140" t="s">
        <v>68</v>
      </c>
      <c r="J102" s="140">
        <v>46</v>
      </c>
      <c r="K102" s="140"/>
      <c r="L102" s="140"/>
      <c r="M102" s="340"/>
      <c r="N102" s="302">
        <f t="shared" si="37"/>
        <v>46</v>
      </c>
      <c r="O102" s="149">
        <v>4851</v>
      </c>
      <c r="P102" s="149">
        <v>4851</v>
      </c>
      <c r="Q102" s="619">
        <v>4851</v>
      </c>
      <c r="R102" s="149">
        <v>4710</v>
      </c>
      <c r="S102" s="132">
        <f t="shared" si="64"/>
        <v>223146</v>
      </c>
      <c r="T102" s="132">
        <f t="shared" si="65"/>
        <v>222272</v>
      </c>
      <c r="U102" s="132">
        <f t="shared" si="65"/>
        <v>0</v>
      </c>
      <c r="V102" s="132">
        <f t="shared" si="65"/>
        <v>0</v>
      </c>
      <c r="W102" s="132">
        <f t="shared" si="65"/>
        <v>0</v>
      </c>
      <c r="X102" s="132">
        <f t="shared" si="66"/>
        <v>222272</v>
      </c>
      <c r="Y102" s="104"/>
      <c r="Z102" s="393"/>
      <c r="AA102" s="104"/>
      <c r="AB102" s="104"/>
      <c r="AC102" s="521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04"/>
      <c r="EE102" s="104"/>
      <c r="EF102" s="104"/>
      <c r="EG102" s="104"/>
      <c r="EH102" s="104"/>
      <c r="EI102" s="104"/>
      <c r="EJ102" s="104"/>
      <c r="EK102" s="104"/>
      <c r="EL102" s="104"/>
      <c r="EM102" s="104"/>
      <c r="EN102" s="104"/>
      <c r="EO102" s="104"/>
      <c r="EP102" s="104"/>
      <c r="EQ102" s="104"/>
      <c r="ER102" s="104"/>
      <c r="ES102" s="104"/>
      <c r="ET102" s="104"/>
      <c r="EU102" s="104"/>
      <c r="EV102" s="104"/>
      <c r="EW102" s="104"/>
      <c r="EX102" s="104"/>
      <c r="EY102" s="104"/>
      <c r="EZ102" s="104"/>
      <c r="FA102" s="104"/>
      <c r="FB102" s="104"/>
      <c r="FC102" s="104"/>
      <c r="FD102" s="104"/>
      <c r="FE102" s="104"/>
      <c r="FF102" s="104"/>
      <c r="FG102" s="104"/>
      <c r="FH102" s="104"/>
      <c r="FI102" s="104"/>
      <c r="FJ102" s="104"/>
      <c r="FK102" s="104"/>
      <c r="FL102" s="104"/>
      <c r="FM102" s="104"/>
      <c r="FN102" s="104"/>
      <c r="FO102" s="104"/>
      <c r="FP102" s="104"/>
      <c r="FQ102" s="104"/>
      <c r="FR102" s="104"/>
      <c r="FS102" s="104"/>
      <c r="FT102" s="104"/>
      <c r="FU102" s="104"/>
      <c r="FV102" s="104"/>
      <c r="FW102" s="104"/>
      <c r="FX102" s="104"/>
      <c r="FY102" s="104"/>
      <c r="FZ102" s="104"/>
      <c r="GA102" s="104"/>
      <c r="GB102" s="104"/>
      <c r="GC102" s="104"/>
      <c r="GD102" s="104"/>
      <c r="GE102" s="104"/>
      <c r="GF102" s="104"/>
      <c r="GG102" s="104"/>
      <c r="GH102" s="104"/>
      <c r="GI102" s="104"/>
      <c r="GJ102" s="104"/>
      <c r="GK102" s="104"/>
      <c r="GL102" s="104"/>
      <c r="GM102" s="104"/>
      <c r="GN102" s="104"/>
      <c r="GO102" s="104"/>
      <c r="GP102" s="104"/>
      <c r="GQ102" s="104"/>
      <c r="GR102" s="104"/>
      <c r="GS102" s="104"/>
      <c r="GT102" s="104"/>
      <c r="GU102" s="104"/>
      <c r="GV102" s="104"/>
      <c r="GW102" s="104"/>
      <c r="GX102" s="104"/>
      <c r="GY102" s="104"/>
      <c r="GZ102" s="104"/>
      <c r="HA102" s="104"/>
      <c r="HB102" s="104"/>
      <c r="HC102" s="104"/>
      <c r="HD102" s="104"/>
      <c r="HE102" s="104"/>
      <c r="HF102" s="104"/>
      <c r="HG102" s="104"/>
    </row>
    <row r="103" spans="1:215" ht="12.75" customHeight="1" outlineLevel="2" x14ac:dyDescent="0.2">
      <c r="A103" s="495">
        <v>1</v>
      </c>
      <c r="B103" s="127">
        <v>14</v>
      </c>
      <c r="C103" s="129" t="s">
        <v>264</v>
      </c>
      <c r="D103" s="129" t="s">
        <v>265</v>
      </c>
      <c r="E103" s="184">
        <v>20203000</v>
      </c>
      <c r="F103" s="130" t="s">
        <v>817</v>
      </c>
      <c r="G103" s="143" t="s">
        <v>58</v>
      </c>
      <c r="H103" s="159" t="s">
        <v>9</v>
      </c>
      <c r="I103" s="140" t="s">
        <v>504</v>
      </c>
      <c r="J103" s="140">
        <v>40</v>
      </c>
      <c r="K103" s="140"/>
      <c r="L103" s="140"/>
      <c r="M103" s="340"/>
      <c r="N103" s="302">
        <f t="shared" si="37"/>
        <v>40</v>
      </c>
      <c r="O103" s="149">
        <v>4870</v>
      </c>
      <c r="P103" s="149">
        <v>4870</v>
      </c>
      <c r="Q103" s="619">
        <v>4870</v>
      </c>
      <c r="R103" s="149">
        <v>4728</v>
      </c>
      <c r="S103" s="132">
        <f t="shared" si="64"/>
        <v>194800</v>
      </c>
      <c r="T103" s="132">
        <f t="shared" si="65"/>
        <v>193280</v>
      </c>
      <c r="U103" s="132">
        <f t="shared" si="65"/>
        <v>0</v>
      </c>
      <c r="V103" s="132">
        <f t="shared" si="65"/>
        <v>0</v>
      </c>
      <c r="W103" s="132">
        <f t="shared" si="65"/>
        <v>0</v>
      </c>
      <c r="X103" s="132">
        <f t="shared" si="66"/>
        <v>193280</v>
      </c>
      <c r="Y103" s="104"/>
      <c r="AC103" s="521"/>
    </row>
    <row r="104" spans="1:215" ht="12.75" customHeight="1" outlineLevel="2" x14ac:dyDescent="0.2">
      <c r="A104" s="495">
        <v>1</v>
      </c>
      <c r="B104" s="127">
        <v>14</v>
      </c>
      <c r="C104" s="129" t="s">
        <v>264</v>
      </c>
      <c r="D104" s="129" t="s">
        <v>156</v>
      </c>
      <c r="E104" s="184">
        <v>20201000</v>
      </c>
      <c r="F104" s="130" t="s">
        <v>817</v>
      </c>
      <c r="G104" s="143" t="s">
        <v>58</v>
      </c>
      <c r="H104" s="159" t="s">
        <v>21</v>
      </c>
      <c r="I104" s="140" t="s">
        <v>504</v>
      </c>
      <c r="J104" s="140">
        <v>4</v>
      </c>
      <c r="K104" s="140"/>
      <c r="L104" s="140"/>
      <c r="M104" s="340"/>
      <c r="N104" s="302">
        <f t="shared" si="37"/>
        <v>4</v>
      </c>
      <c r="O104" s="149">
        <v>1623</v>
      </c>
      <c r="P104" s="149">
        <v>1623</v>
      </c>
      <c r="Q104" s="619">
        <v>1623</v>
      </c>
      <c r="R104" s="149">
        <v>1576</v>
      </c>
      <c r="S104" s="132">
        <f t="shared" si="64"/>
        <v>6492</v>
      </c>
      <c r="T104" s="132">
        <f t="shared" si="65"/>
        <v>6492</v>
      </c>
      <c r="U104" s="132">
        <f t="shared" si="65"/>
        <v>0</v>
      </c>
      <c r="V104" s="132">
        <f t="shared" si="65"/>
        <v>0</v>
      </c>
      <c r="W104" s="132">
        <f t="shared" si="65"/>
        <v>0</v>
      </c>
      <c r="X104" s="132">
        <f t="shared" si="66"/>
        <v>6492</v>
      </c>
      <c r="Y104" s="104"/>
      <c r="AC104" s="521"/>
    </row>
    <row r="105" spans="1:215" ht="12.75" customHeight="1" outlineLevel="2" x14ac:dyDescent="0.2">
      <c r="A105" s="495">
        <v>1</v>
      </c>
      <c r="B105" s="127">
        <v>16</v>
      </c>
      <c r="C105" s="156" t="s">
        <v>770</v>
      </c>
      <c r="D105" s="129" t="s">
        <v>771</v>
      </c>
      <c r="E105" s="184">
        <v>19705700</v>
      </c>
      <c r="F105" s="130" t="s">
        <v>817</v>
      </c>
      <c r="G105" s="143" t="s">
        <v>58</v>
      </c>
      <c r="H105" s="133" t="s">
        <v>8</v>
      </c>
      <c r="I105" s="134" t="s">
        <v>128</v>
      </c>
      <c r="J105" s="134">
        <v>101</v>
      </c>
      <c r="K105" s="134"/>
      <c r="L105" s="134"/>
      <c r="M105" s="485"/>
      <c r="N105" s="302">
        <f t="shared" si="37"/>
        <v>101</v>
      </c>
      <c r="O105" s="146">
        <v>3246</v>
      </c>
      <c r="P105" s="146">
        <v>3246</v>
      </c>
      <c r="Q105" s="622">
        <v>3246</v>
      </c>
      <c r="R105" s="146">
        <v>3151</v>
      </c>
      <c r="S105" s="132">
        <f t="shared" ref="S105:S108" si="67">SUMPRODUCT(J105:M105,O105:R105)</f>
        <v>327846</v>
      </c>
      <c r="T105" s="132">
        <f t="shared" ref="T105:T108" si="68">IF(O105&gt;prisgrense,J105*prisgrense,J105*O105)</f>
        <v>327846</v>
      </c>
      <c r="U105" s="132">
        <f t="shared" ref="U105:U108" si="69">IF(P105&gt;prisgrense,K105*prisgrense,K105*P105)</f>
        <v>0</v>
      </c>
      <c r="V105" s="132">
        <f t="shared" ref="V105:V108" si="70">IF(Q105&gt;prisgrense,L105*prisgrense,L105*Q105)</f>
        <v>0</v>
      </c>
      <c r="W105" s="132">
        <f t="shared" ref="W105:W108" si="71">IF(R105&gt;prisgrense,M105*prisgrense,M105*R105)</f>
        <v>0</v>
      </c>
      <c r="X105" s="132">
        <f t="shared" ref="X105:X108" si="72">SUM(T105:W105)</f>
        <v>327846</v>
      </c>
      <c r="Y105" s="139" t="s">
        <v>762</v>
      </c>
      <c r="Z105" s="394"/>
      <c r="AA105" s="139"/>
      <c r="AB105" s="139"/>
      <c r="AC105" s="521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39"/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39"/>
      <c r="DB105" s="139"/>
      <c r="DC105" s="139"/>
      <c r="DD105" s="139"/>
      <c r="DE105" s="139"/>
      <c r="DF105" s="139"/>
      <c r="DG105" s="139"/>
      <c r="DH105" s="139"/>
      <c r="DI105" s="139"/>
      <c r="DJ105" s="139"/>
      <c r="DK105" s="139"/>
      <c r="DL105" s="139"/>
      <c r="DM105" s="139"/>
      <c r="DN105" s="139"/>
      <c r="DO105" s="139"/>
      <c r="DP105" s="139"/>
      <c r="DQ105" s="139"/>
      <c r="DR105" s="139"/>
      <c r="DS105" s="139"/>
      <c r="DT105" s="139"/>
      <c r="DU105" s="139"/>
      <c r="DV105" s="139"/>
      <c r="DW105" s="139"/>
      <c r="DX105" s="139"/>
      <c r="DY105" s="139"/>
      <c r="DZ105" s="139"/>
      <c r="EA105" s="139"/>
      <c r="EB105" s="139"/>
      <c r="EC105" s="139"/>
      <c r="ED105" s="139"/>
      <c r="EE105" s="139"/>
      <c r="EF105" s="139"/>
      <c r="EG105" s="139"/>
      <c r="EH105" s="139"/>
      <c r="EI105" s="139"/>
      <c r="EJ105" s="139"/>
      <c r="EK105" s="139"/>
      <c r="EL105" s="139"/>
      <c r="EM105" s="139"/>
      <c r="EN105" s="139"/>
      <c r="EO105" s="139"/>
      <c r="EP105" s="139"/>
      <c r="EQ105" s="139"/>
      <c r="ER105" s="139"/>
      <c r="ES105" s="139"/>
      <c r="ET105" s="139"/>
      <c r="EU105" s="139"/>
      <c r="EV105" s="139"/>
      <c r="EW105" s="139"/>
      <c r="EX105" s="139"/>
      <c r="EY105" s="139"/>
      <c r="EZ105" s="139"/>
      <c r="FA105" s="139"/>
      <c r="FB105" s="139"/>
      <c r="FC105" s="139"/>
      <c r="FD105" s="139"/>
      <c r="FE105" s="139"/>
      <c r="FF105" s="139"/>
      <c r="FG105" s="139"/>
      <c r="FH105" s="139"/>
      <c r="FI105" s="139"/>
      <c r="FJ105" s="139"/>
      <c r="FK105" s="139"/>
      <c r="FL105" s="139"/>
      <c r="FM105" s="139"/>
      <c r="FN105" s="139"/>
      <c r="FO105" s="139"/>
      <c r="FP105" s="139"/>
      <c r="FQ105" s="139"/>
      <c r="FR105" s="139"/>
      <c r="FS105" s="139"/>
      <c r="FT105" s="139"/>
      <c r="FU105" s="139"/>
      <c r="FV105" s="139"/>
      <c r="FW105" s="139"/>
      <c r="FX105" s="139"/>
      <c r="FY105" s="139"/>
      <c r="FZ105" s="139"/>
      <c r="GA105" s="139"/>
      <c r="GB105" s="139"/>
      <c r="GC105" s="139"/>
      <c r="GD105" s="139"/>
      <c r="GE105" s="139"/>
      <c r="GF105" s="139"/>
      <c r="GG105" s="139"/>
      <c r="GH105" s="139"/>
      <c r="GI105" s="139"/>
      <c r="GJ105" s="139"/>
      <c r="GK105" s="139"/>
      <c r="GL105" s="139"/>
      <c r="GM105" s="139"/>
      <c r="GN105" s="139"/>
      <c r="GO105" s="139"/>
      <c r="GP105" s="139"/>
      <c r="GQ105" s="139"/>
      <c r="GR105" s="139"/>
      <c r="GS105" s="139"/>
      <c r="GT105" s="139"/>
      <c r="GU105" s="139"/>
      <c r="GV105" s="139"/>
      <c r="GW105" s="139"/>
      <c r="GX105" s="139"/>
      <c r="GY105" s="139"/>
      <c r="GZ105" s="139"/>
      <c r="HA105" s="139"/>
      <c r="HB105" s="139"/>
      <c r="HC105" s="139"/>
      <c r="HD105" s="139"/>
      <c r="HE105" s="139"/>
      <c r="HF105" s="139"/>
      <c r="HG105" s="139"/>
    </row>
    <row r="106" spans="1:215" ht="12.75" customHeight="1" outlineLevel="2" x14ac:dyDescent="0.2">
      <c r="A106" s="495">
        <v>1</v>
      </c>
      <c r="B106" s="127">
        <v>16</v>
      </c>
      <c r="C106" s="156" t="s">
        <v>770</v>
      </c>
      <c r="D106" s="129" t="s">
        <v>772</v>
      </c>
      <c r="E106" s="184">
        <v>19706500</v>
      </c>
      <c r="F106" s="130" t="s">
        <v>817</v>
      </c>
      <c r="G106" s="143" t="s">
        <v>58</v>
      </c>
      <c r="H106" s="133" t="s">
        <v>8</v>
      </c>
      <c r="I106" s="134" t="s">
        <v>68</v>
      </c>
      <c r="J106" s="134">
        <v>782</v>
      </c>
      <c r="K106" s="134"/>
      <c r="L106" s="134"/>
      <c r="M106" s="485"/>
      <c r="N106" s="302">
        <f t="shared" si="37"/>
        <v>782</v>
      </c>
      <c r="O106" s="146">
        <v>4851</v>
      </c>
      <c r="P106" s="146">
        <v>4851</v>
      </c>
      <c r="Q106" s="622">
        <v>4851</v>
      </c>
      <c r="R106" s="146">
        <v>4710</v>
      </c>
      <c r="S106" s="132">
        <f t="shared" si="67"/>
        <v>3793482</v>
      </c>
      <c r="T106" s="132">
        <f t="shared" si="68"/>
        <v>3778624</v>
      </c>
      <c r="U106" s="132">
        <f t="shared" si="69"/>
        <v>0</v>
      </c>
      <c r="V106" s="132">
        <f t="shared" si="70"/>
        <v>0</v>
      </c>
      <c r="W106" s="132">
        <f t="shared" si="71"/>
        <v>0</v>
      </c>
      <c r="X106" s="132">
        <f t="shared" si="72"/>
        <v>3778624</v>
      </c>
      <c r="Y106" s="139" t="s">
        <v>762</v>
      </c>
      <c r="Z106" s="394"/>
      <c r="AA106" s="139"/>
      <c r="AB106" s="139"/>
      <c r="AC106" s="521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  <c r="DV106" s="139"/>
      <c r="DW106" s="139"/>
      <c r="DX106" s="139"/>
      <c r="DY106" s="139"/>
      <c r="DZ106" s="139"/>
      <c r="EA106" s="139"/>
      <c r="EB106" s="139"/>
      <c r="EC106" s="139"/>
      <c r="ED106" s="139"/>
      <c r="EE106" s="139"/>
      <c r="EF106" s="139"/>
      <c r="EG106" s="139"/>
      <c r="EH106" s="139"/>
      <c r="EI106" s="139"/>
      <c r="EJ106" s="139"/>
      <c r="EK106" s="139"/>
      <c r="EL106" s="139"/>
      <c r="EM106" s="139"/>
      <c r="EN106" s="139"/>
      <c r="EO106" s="139"/>
      <c r="EP106" s="139"/>
      <c r="EQ106" s="139"/>
      <c r="ER106" s="139"/>
      <c r="ES106" s="139"/>
      <c r="ET106" s="139"/>
      <c r="EU106" s="139"/>
      <c r="EV106" s="139"/>
      <c r="EW106" s="139"/>
      <c r="EX106" s="139"/>
      <c r="EY106" s="139"/>
      <c r="EZ106" s="139"/>
      <c r="FA106" s="139"/>
      <c r="FB106" s="139"/>
      <c r="FC106" s="139"/>
      <c r="FD106" s="139"/>
      <c r="FE106" s="139"/>
      <c r="FF106" s="139"/>
      <c r="FG106" s="139"/>
      <c r="FH106" s="139"/>
      <c r="FI106" s="139"/>
      <c r="FJ106" s="139"/>
      <c r="FK106" s="139"/>
      <c r="FL106" s="139"/>
      <c r="FM106" s="139"/>
      <c r="FN106" s="139"/>
      <c r="FO106" s="139"/>
      <c r="FP106" s="139"/>
      <c r="FQ106" s="139"/>
      <c r="FR106" s="139"/>
      <c r="FS106" s="139"/>
      <c r="FT106" s="139"/>
      <c r="FU106" s="139"/>
      <c r="FV106" s="139"/>
      <c r="FW106" s="139"/>
      <c r="FX106" s="139"/>
      <c r="FY106" s="139"/>
      <c r="FZ106" s="139"/>
      <c r="GA106" s="139"/>
      <c r="GB106" s="139"/>
      <c r="GC106" s="139"/>
      <c r="GD106" s="139"/>
      <c r="GE106" s="139"/>
      <c r="GF106" s="139"/>
      <c r="GG106" s="139"/>
      <c r="GH106" s="139"/>
      <c r="GI106" s="139"/>
      <c r="GJ106" s="139"/>
      <c r="GK106" s="139"/>
      <c r="GL106" s="139"/>
      <c r="GM106" s="139"/>
      <c r="GN106" s="139"/>
      <c r="GO106" s="139"/>
      <c r="GP106" s="139"/>
      <c r="GQ106" s="139"/>
      <c r="GR106" s="139"/>
      <c r="GS106" s="139"/>
      <c r="GT106" s="139"/>
      <c r="GU106" s="139"/>
      <c r="GV106" s="139"/>
      <c r="GW106" s="139"/>
      <c r="GX106" s="139"/>
      <c r="GY106" s="139"/>
      <c r="GZ106" s="139"/>
      <c r="HA106" s="139"/>
      <c r="HB106" s="139"/>
      <c r="HC106" s="139"/>
      <c r="HD106" s="139"/>
      <c r="HE106" s="139"/>
      <c r="HF106" s="139"/>
      <c r="HG106" s="139"/>
    </row>
    <row r="107" spans="1:215" ht="12.75" customHeight="1" outlineLevel="2" x14ac:dyDescent="0.2">
      <c r="A107" s="495">
        <v>1</v>
      </c>
      <c r="B107" s="127">
        <v>16</v>
      </c>
      <c r="C107" s="156" t="s">
        <v>770</v>
      </c>
      <c r="D107" s="129" t="s">
        <v>773</v>
      </c>
      <c r="E107" s="184" t="s">
        <v>774</v>
      </c>
      <c r="F107" s="130" t="s">
        <v>817</v>
      </c>
      <c r="G107" s="143" t="s">
        <v>58</v>
      </c>
      <c r="H107" s="133" t="s">
        <v>9</v>
      </c>
      <c r="I107" s="134" t="s">
        <v>504</v>
      </c>
      <c r="J107" s="134">
        <v>330</v>
      </c>
      <c r="K107" s="134"/>
      <c r="L107" s="134"/>
      <c r="M107" s="485"/>
      <c r="N107" s="302">
        <f t="shared" si="37"/>
        <v>330</v>
      </c>
      <c r="O107" s="146">
        <v>4870</v>
      </c>
      <c r="P107" s="146">
        <v>4870</v>
      </c>
      <c r="Q107" s="622">
        <v>4870</v>
      </c>
      <c r="R107" s="146">
        <v>4728</v>
      </c>
      <c r="S107" s="132">
        <f t="shared" si="67"/>
        <v>1607100</v>
      </c>
      <c r="T107" s="132">
        <f t="shared" si="68"/>
        <v>1594560</v>
      </c>
      <c r="U107" s="132">
        <f t="shared" si="69"/>
        <v>0</v>
      </c>
      <c r="V107" s="132">
        <f t="shared" si="70"/>
        <v>0</v>
      </c>
      <c r="W107" s="132">
        <f t="shared" si="71"/>
        <v>0</v>
      </c>
      <c r="X107" s="132">
        <f t="shared" si="72"/>
        <v>1594560</v>
      </c>
      <c r="Y107" s="139" t="s">
        <v>762</v>
      </c>
      <c r="Z107" s="394"/>
      <c r="AA107" s="139"/>
      <c r="AB107" s="139"/>
      <c r="AC107" s="521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39"/>
      <c r="CT107" s="139"/>
      <c r="CU107" s="139"/>
      <c r="CV107" s="139"/>
      <c r="CW107" s="139"/>
      <c r="CX107" s="139"/>
      <c r="CY107" s="139"/>
      <c r="CZ107" s="139"/>
      <c r="DA107" s="139"/>
      <c r="DB107" s="139"/>
      <c r="DC107" s="139"/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  <c r="DV107" s="139"/>
      <c r="DW107" s="139"/>
      <c r="DX107" s="139"/>
      <c r="DY107" s="139"/>
      <c r="DZ107" s="139"/>
      <c r="EA107" s="139"/>
      <c r="EB107" s="139"/>
      <c r="EC107" s="139"/>
      <c r="ED107" s="139"/>
      <c r="EE107" s="139"/>
      <c r="EF107" s="139"/>
      <c r="EG107" s="139"/>
      <c r="EH107" s="139"/>
      <c r="EI107" s="139"/>
      <c r="EJ107" s="139"/>
      <c r="EK107" s="139"/>
      <c r="EL107" s="139"/>
      <c r="EM107" s="139"/>
      <c r="EN107" s="139"/>
      <c r="EO107" s="139"/>
      <c r="EP107" s="139"/>
      <c r="EQ107" s="139"/>
      <c r="ER107" s="139"/>
      <c r="ES107" s="139"/>
      <c r="ET107" s="139"/>
      <c r="EU107" s="139"/>
      <c r="EV107" s="139"/>
      <c r="EW107" s="139"/>
      <c r="EX107" s="139"/>
      <c r="EY107" s="139"/>
      <c r="EZ107" s="139"/>
      <c r="FA107" s="139"/>
      <c r="FB107" s="139"/>
      <c r="FC107" s="139"/>
      <c r="FD107" s="139"/>
      <c r="FE107" s="139"/>
      <c r="FF107" s="139"/>
      <c r="FG107" s="139"/>
      <c r="FH107" s="139"/>
      <c r="FI107" s="139"/>
      <c r="FJ107" s="139"/>
      <c r="FK107" s="139"/>
      <c r="FL107" s="139"/>
      <c r="FM107" s="139"/>
      <c r="FN107" s="139"/>
      <c r="FO107" s="139"/>
      <c r="FP107" s="139"/>
      <c r="FQ107" s="139"/>
      <c r="FR107" s="139"/>
      <c r="FS107" s="139"/>
      <c r="FT107" s="139"/>
      <c r="FU107" s="139"/>
      <c r="FV107" s="139"/>
      <c r="FW107" s="139"/>
      <c r="FX107" s="139"/>
      <c r="FY107" s="139"/>
      <c r="FZ107" s="139"/>
      <c r="GA107" s="139"/>
      <c r="GB107" s="139"/>
      <c r="GC107" s="139"/>
      <c r="GD107" s="139"/>
      <c r="GE107" s="139"/>
      <c r="GF107" s="139"/>
      <c r="GG107" s="139"/>
      <c r="GH107" s="139"/>
      <c r="GI107" s="139"/>
      <c r="GJ107" s="139"/>
      <c r="GK107" s="139"/>
      <c r="GL107" s="139"/>
      <c r="GM107" s="139"/>
      <c r="GN107" s="139"/>
      <c r="GO107" s="139"/>
      <c r="GP107" s="139"/>
      <c r="GQ107" s="139"/>
      <c r="GR107" s="139"/>
      <c r="GS107" s="139"/>
      <c r="GT107" s="139"/>
      <c r="GU107" s="139"/>
      <c r="GV107" s="139"/>
      <c r="GW107" s="139"/>
      <c r="GX107" s="139"/>
      <c r="GY107" s="139"/>
      <c r="GZ107" s="139"/>
      <c r="HA107" s="139"/>
      <c r="HB107" s="139"/>
      <c r="HC107" s="139"/>
      <c r="HD107" s="139"/>
      <c r="HE107" s="139"/>
      <c r="HF107" s="139"/>
      <c r="HG107" s="139"/>
    </row>
    <row r="108" spans="1:215" ht="12.75" customHeight="1" outlineLevel="2" x14ac:dyDescent="0.2">
      <c r="A108" s="495">
        <v>1</v>
      </c>
      <c r="B108" s="127">
        <v>16</v>
      </c>
      <c r="C108" s="156" t="s">
        <v>770</v>
      </c>
      <c r="D108" s="129" t="s">
        <v>775</v>
      </c>
      <c r="E108" s="184" t="s">
        <v>776</v>
      </c>
      <c r="F108" s="130" t="s">
        <v>817</v>
      </c>
      <c r="G108" s="143" t="s">
        <v>58</v>
      </c>
      <c r="H108" s="133" t="s">
        <v>21</v>
      </c>
      <c r="I108" s="134" t="s">
        <v>504</v>
      </c>
      <c r="J108" s="134">
        <v>25</v>
      </c>
      <c r="K108" s="134"/>
      <c r="L108" s="134"/>
      <c r="M108" s="485"/>
      <c r="N108" s="302">
        <f t="shared" si="37"/>
        <v>25</v>
      </c>
      <c r="O108" s="146">
        <v>1623</v>
      </c>
      <c r="P108" s="146">
        <v>1623</v>
      </c>
      <c r="Q108" s="622">
        <v>1623</v>
      </c>
      <c r="R108" s="146">
        <v>1576</v>
      </c>
      <c r="S108" s="132">
        <f t="shared" si="67"/>
        <v>40575</v>
      </c>
      <c r="T108" s="132">
        <f t="shared" si="68"/>
        <v>40575</v>
      </c>
      <c r="U108" s="132">
        <f t="shared" si="69"/>
        <v>0</v>
      </c>
      <c r="V108" s="132">
        <f t="shared" si="70"/>
        <v>0</v>
      </c>
      <c r="W108" s="132">
        <f t="shared" si="71"/>
        <v>0</v>
      </c>
      <c r="X108" s="132">
        <f t="shared" si="72"/>
        <v>40575</v>
      </c>
      <c r="Y108" s="139" t="s">
        <v>762</v>
      </c>
      <c r="Z108" s="394"/>
      <c r="AA108" s="139"/>
      <c r="AB108" s="139"/>
      <c r="AC108" s="521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  <c r="CI108" s="139"/>
      <c r="CJ108" s="139"/>
      <c r="CK108" s="139"/>
      <c r="CL108" s="139"/>
      <c r="CM108" s="139"/>
      <c r="CN108" s="139"/>
      <c r="CO108" s="139"/>
      <c r="CP108" s="139"/>
      <c r="CQ108" s="139"/>
      <c r="CR108" s="139"/>
      <c r="CS108" s="139"/>
      <c r="CT108" s="139"/>
      <c r="CU108" s="139"/>
      <c r="CV108" s="139"/>
      <c r="CW108" s="139"/>
      <c r="CX108" s="139"/>
      <c r="CY108" s="139"/>
      <c r="CZ108" s="139"/>
      <c r="DA108" s="139"/>
      <c r="DB108" s="139"/>
      <c r="DC108" s="139"/>
      <c r="DD108" s="139"/>
      <c r="DE108" s="139"/>
      <c r="DF108" s="139"/>
      <c r="DG108" s="139"/>
      <c r="DH108" s="139"/>
      <c r="DI108" s="139"/>
      <c r="DJ108" s="139"/>
      <c r="DK108" s="139"/>
      <c r="DL108" s="139"/>
      <c r="DM108" s="139"/>
      <c r="DN108" s="139"/>
      <c r="DO108" s="139"/>
      <c r="DP108" s="139"/>
      <c r="DQ108" s="139"/>
      <c r="DR108" s="139"/>
      <c r="DS108" s="139"/>
      <c r="DT108" s="139"/>
      <c r="DU108" s="139"/>
      <c r="DV108" s="139"/>
      <c r="DW108" s="139"/>
      <c r="DX108" s="139"/>
      <c r="DY108" s="139"/>
      <c r="DZ108" s="139"/>
      <c r="EA108" s="139"/>
      <c r="EB108" s="139"/>
      <c r="EC108" s="139"/>
      <c r="ED108" s="139"/>
      <c r="EE108" s="139"/>
      <c r="EF108" s="139"/>
      <c r="EG108" s="139"/>
      <c r="EH108" s="139"/>
      <c r="EI108" s="139"/>
      <c r="EJ108" s="139"/>
      <c r="EK108" s="139"/>
      <c r="EL108" s="139"/>
      <c r="EM108" s="139"/>
      <c r="EN108" s="139"/>
      <c r="EO108" s="139"/>
      <c r="EP108" s="139"/>
      <c r="EQ108" s="139"/>
      <c r="ER108" s="139"/>
      <c r="ES108" s="139"/>
      <c r="ET108" s="139"/>
      <c r="EU108" s="139"/>
      <c r="EV108" s="139"/>
      <c r="EW108" s="139"/>
      <c r="EX108" s="139"/>
      <c r="EY108" s="139"/>
      <c r="EZ108" s="139"/>
      <c r="FA108" s="139"/>
      <c r="FB108" s="139"/>
      <c r="FC108" s="139"/>
      <c r="FD108" s="139"/>
      <c r="FE108" s="139"/>
      <c r="FF108" s="139"/>
      <c r="FG108" s="139"/>
      <c r="FH108" s="139"/>
      <c r="FI108" s="139"/>
      <c r="FJ108" s="139"/>
      <c r="FK108" s="139"/>
      <c r="FL108" s="139"/>
      <c r="FM108" s="139"/>
      <c r="FN108" s="139"/>
      <c r="FO108" s="139"/>
      <c r="FP108" s="139"/>
      <c r="FQ108" s="139"/>
      <c r="FR108" s="139"/>
      <c r="FS108" s="139"/>
      <c r="FT108" s="139"/>
      <c r="FU108" s="139"/>
      <c r="FV108" s="139"/>
      <c r="FW108" s="139"/>
      <c r="FX108" s="139"/>
      <c r="FY108" s="139"/>
      <c r="FZ108" s="139"/>
      <c r="GA108" s="139"/>
      <c r="GB108" s="139"/>
      <c r="GC108" s="139"/>
      <c r="GD108" s="139"/>
      <c r="GE108" s="139"/>
      <c r="GF108" s="139"/>
      <c r="GG108" s="139"/>
      <c r="GH108" s="139"/>
      <c r="GI108" s="139"/>
      <c r="GJ108" s="139"/>
      <c r="GK108" s="139"/>
      <c r="GL108" s="139"/>
      <c r="GM108" s="139"/>
      <c r="GN108" s="139"/>
      <c r="GO108" s="139"/>
      <c r="GP108" s="139"/>
      <c r="GQ108" s="139"/>
      <c r="GR108" s="139"/>
      <c r="GS108" s="139"/>
      <c r="GT108" s="139"/>
      <c r="GU108" s="139"/>
      <c r="GV108" s="139"/>
      <c r="GW108" s="139"/>
      <c r="GX108" s="139"/>
      <c r="GY108" s="139"/>
      <c r="GZ108" s="139"/>
      <c r="HA108" s="139"/>
      <c r="HB108" s="139"/>
      <c r="HC108" s="139"/>
      <c r="HD108" s="139"/>
      <c r="HE108" s="139"/>
      <c r="HF108" s="139"/>
      <c r="HG108" s="139"/>
    </row>
    <row r="109" spans="1:215" ht="12.75" customHeight="1" outlineLevel="2" x14ac:dyDescent="0.2">
      <c r="A109" s="495">
        <v>1</v>
      </c>
      <c r="B109" s="127">
        <v>19</v>
      </c>
      <c r="C109" s="129" t="s">
        <v>275</v>
      </c>
      <c r="D109" s="135" t="s">
        <v>276</v>
      </c>
      <c r="E109" s="184" t="s">
        <v>277</v>
      </c>
      <c r="F109" s="130" t="s">
        <v>106</v>
      </c>
      <c r="G109" s="143" t="s">
        <v>107</v>
      </c>
      <c r="H109" s="134" t="s">
        <v>8</v>
      </c>
      <c r="I109" s="134" t="s">
        <v>128</v>
      </c>
      <c r="J109" s="134">
        <v>19</v>
      </c>
      <c r="K109" s="134"/>
      <c r="L109" s="134"/>
      <c r="M109" s="177"/>
      <c r="N109" s="302">
        <f t="shared" si="37"/>
        <v>19</v>
      </c>
      <c r="O109" s="144">
        <v>4202</v>
      </c>
      <c r="P109" s="144">
        <v>4202</v>
      </c>
      <c r="Q109" s="144">
        <v>4202</v>
      </c>
      <c r="R109" s="144">
        <v>4202</v>
      </c>
      <c r="S109" s="132">
        <f t="shared" si="64"/>
        <v>79838</v>
      </c>
      <c r="T109" s="132">
        <f t="shared" ref="T109:W128" si="73">IF(O109&gt;prisgrense,J109*prisgrense,J109*O109)</f>
        <v>79838</v>
      </c>
      <c r="U109" s="132">
        <f t="shared" si="73"/>
        <v>0</v>
      </c>
      <c r="V109" s="132">
        <f t="shared" si="73"/>
        <v>0</v>
      </c>
      <c r="W109" s="132">
        <f t="shared" si="73"/>
        <v>0</v>
      </c>
      <c r="X109" s="132">
        <f t="shared" si="66"/>
        <v>79838</v>
      </c>
      <c r="Y109" s="104" t="s">
        <v>968</v>
      </c>
      <c r="Z109" s="393">
        <v>1</v>
      </c>
      <c r="AC109" s="521"/>
    </row>
    <row r="110" spans="1:215" ht="12.75" customHeight="1" outlineLevel="2" x14ac:dyDescent="0.2">
      <c r="A110" s="495">
        <v>1</v>
      </c>
      <c r="B110" s="127">
        <v>19</v>
      </c>
      <c r="C110" s="129" t="s">
        <v>275</v>
      </c>
      <c r="D110" s="129" t="s">
        <v>278</v>
      </c>
      <c r="E110" s="184" t="s">
        <v>279</v>
      </c>
      <c r="F110" s="130" t="s">
        <v>106</v>
      </c>
      <c r="G110" s="143" t="s">
        <v>107</v>
      </c>
      <c r="H110" s="134" t="s">
        <v>8</v>
      </c>
      <c r="I110" s="134" t="s">
        <v>168</v>
      </c>
      <c r="J110" s="134">
        <v>37</v>
      </c>
      <c r="K110" s="134"/>
      <c r="L110" s="134"/>
      <c r="M110" s="177"/>
      <c r="N110" s="302">
        <f t="shared" si="37"/>
        <v>37</v>
      </c>
      <c r="O110" s="144">
        <v>4202</v>
      </c>
      <c r="P110" s="144">
        <v>4202</v>
      </c>
      <c r="Q110" s="144">
        <v>4202</v>
      </c>
      <c r="R110" s="144">
        <v>4202</v>
      </c>
      <c r="S110" s="132">
        <f t="shared" si="64"/>
        <v>155474</v>
      </c>
      <c r="T110" s="132">
        <f t="shared" si="73"/>
        <v>155474</v>
      </c>
      <c r="U110" s="132">
        <f t="shared" si="73"/>
        <v>0</v>
      </c>
      <c r="V110" s="132">
        <f t="shared" si="73"/>
        <v>0</v>
      </c>
      <c r="W110" s="132">
        <f t="shared" si="73"/>
        <v>0</v>
      </c>
      <c r="X110" s="132">
        <f t="shared" si="66"/>
        <v>155474</v>
      </c>
      <c r="Y110" s="104" t="s">
        <v>968</v>
      </c>
      <c r="Z110" s="394">
        <v>1</v>
      </c>
      <c r="AA110" s="139"/>
      <c r="AB110" s="139"/>
      <c r="AC110" s="521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139"/>
      <c r="EQ110" s="139"/>
      <c r="ER110" s="139"/>
      <c r="ES110" s="139"/>
      <c r="ET110" s="139"/>
      <c r="EU110" s="139"/>
      <c r="EV110" s="139"/>
      <c r="EW110" s="139"/>
      <c r="EX110" s="139"/>
      <c r="EY110" s="139"/>
      <c r="EZ110" s="139"/>
      <c r="FA110" s="139"/>
      <c r="FB110" s="139"/>
      <c r="FC110" s="139"/>
      <c r="FD110" s="139"/>
      <c r="FE110" s="139"/>
      <c r="FF110" s="139"/>
      <c r="FG110" s="139"/>
      <c r="FH110" s="139"/>
      <c r="FI110" s="139"/>
      <c r="FJ110" s="139"/>
      <c r="FK110" s="139"/>
      <c r="FL110" s="139"/>
      <c r="FM110" s="139"/>
      <c r="FN110" s="139"/>
      <c r="FO110" s="139"/>
      <c r="FP110" s="139"/>
      <c r="FQ110" s="139"/>
      <c r="FR110" s="139"/>
      <c r="FS110" s="139"/>
      <c r="FT110" s="139"/>
      <c r="FU110" s="139"/>
      <c r="FV110" s="139"/>
      <c r="FW110" s="139"/>
      <c r="FX110" s="139"/>
      <c r="FY110" s="139"/>
      <c r="FZ110" s="139"/>
      <c r="GA110" s="139"/>
      <c r="GB110" s="139"/>
      <c r="GC110" s="139"/>
      <c r="GD110" s="139"/>
      <c r="GE110" s="139"/>
      <c r="GF110" s="139"/>
      <c r="GG110" s="139"/>
      <c r="GH110" s="139"/>
      <c r="GI110" s="139"/>
      <c r="GJ110" s="139"/>
      <c r="GK110" s="139"/>
      <c r="GL110" s="139"/>
      <c r="GM110" s="139"/>
      <c r="GN110" s="139"/>
      <c r="GO110" s="139"/>
      <c r="GP110" s="139"/>
      <c r="GQ110" s="139"/>
      <c r="GR110" s="139"/>
      <c r="GS110" s="139"/>
      <c r="GT110" s="139"/>
      <c r="GU110" s="139"/>
      <c r="GV110" s="139"/>
      <c r="GW110" s="139"/>
      <c r="GX110" s="139"/>
      <c r="GY110" s="139"/>
      <c r="GZ110" s="139"/>
      <c r="HA110" s="139"/>
      <c r="HB110" s="139"/>
      <c r="HC110" s="139"/>
      <c r="HD110" s="139"/>
      <c r="HE110" s="139"/>
      <c r="HF110" s="139"/>
      <c r="HG110" s="139"/>
    </row>
    <row r="111" spans="1:215" ht="12.75" customHeight="1" outlineLevel="2" x14ac:dyDescent="0.2">
      <c r="A111" s="495">
        <v>1</v>
      </c>
      <c r="B111" s="127">
        <v>19</v>
      </c>
      <c r="C111" s="129" t="s">
        <v>275</v>
      </c>
      <c r="D111" s="129" t="s">
        <v>148</v>
      </c>
      <c r="E111" s="184" t="s">
        <v>280</v>
      </c>
      <c r="F111" s="130" t="s">
        <v>106</v>
      </c>
      <c r="G111" s="143" t="s">
        <v>107</v>
      </c>
      <c r="H111" s="134" t="s">
        <v>8</v>
      </c>
      <c r="I111" s="134" t="s">
        <v>68</v>
      </c>
      <c r="J111" s="134">
        <v>39</v>
      </c>
      <c r="K111" s="134"/>
      <c r="L111" s="134"/>
      <c r="M111" s="177"/>
      <c r="N111" s="302">
        <f t="shared" si="37"/>
        <v>39</v>
      </c>
      <c r="O111" s="144">
        <v>4728</v>
      </c>
      <c r="P111" s="144">
        <v>4728</v>
      </c>
      <c r="Q111" s="144">
        <v>4728</v>
      </c>
      <c r="R111" s="144">
        <v>4728</v>
      </c>
      <c r="S111" s="132">
        <f t="shared" si="64"/>
        <v>184392</v>
      </c>
      <c r="T111" s="132">
        <f t="shared" si="73"/>
        <v>184392</v>
      </c>
      <c r="U111" s="132">
        <f t="shared" si="73"/>
        <v>0</v>
      </c>
      <c r="V111" s="132">
        <f t="shared" si="73"/>
        <v>0</v>
      </c>
      <c r="W111" s="132">
        <f t="shared" si="73"/>
        <v>0</v>
      </c>
      <c r="X111" s="132">
        <f t="shared" si="66"/>
        <v>184392</v>
      </c>
      <c r="Y111" s="104" t="s">
        <v>968</v>
      </c>
      <c r="Z111" s="393">
        <v>1</v>
      </c>
      <c r="AC111" s="521"/>
    </row>
    <row r="112" spans="1:215" ht="12.75" customHeight="1" outlineLevel="2" x14ac:dyDescent="0.2">
      <c r="A112" s="495">
        <v>1</v>
      </c>
      <c r="B112" s="127">
        <v>19</v>
      </c>
      <c r="C112" s="129" t="s">
        <v>275</v>
      </c>
      <c r="D112" s="129" t="s">
        <v>281</v>
      </c>
      <c r="E112" s="184" t="s">
        <v>282</v>
      </c>
      <c r="F112" s="130" t="s">
        <v>106</v>
      </c>
      <c r="G112" s="143" t="s">
        <v>107</v>
      </c>
      <c r="H112" s="134" t="s">
        <v>8</v>
      </c>
      <c r="I112" s="134" t="s">
        <v>68</v>
      </c>
      <c r="J112" s="134">
        <v>21</v>
      </c>
      <c r="K112" s="134"/>
      <c r="L112" s="134"/>
      <c r="M112" s="177"/>
      <c r="N112" s="302">
        <f t="shared" si="37"/>
        <v>21</v>
      </c>
      <c r="O112" s="144">
        <v>4728</v>
      </c>
      <c r="P112" s="144">
        <v>4728</v>
      </c>
      <c r="Q112" s="144">
        <v>4728</v>
      </c>
      <c r="R112" s="144">
        <v>4728</v>
      </c>
      <c r="S112" s="132">
        <f t="shared" si="64"/>
        <v>99288</v>
      </c>
      <c r="T112" s="132">
        <f t="shared" si="73"/>
        <v>99288</v>
      </c>
      <c r="U112" s="132">
        <f t="shared" si="73"/>
        <v>0</v>
      </c>
      <c r="V112" s="132">
        <f t="shared" si="73"/>
        <v>0</v>
      </c>
      <c r="W112" s="132">
        <f t="shared" si="73"/>
        <v>0</v>
      </c>
      <c r="X112" s="132">
        <f t="shared" si="66"/>
        <v>99288</v>
      </c>
      <c r="Y112" s="104" t="s">
        <v>968</v>
      </c>
      <c r="Z112" s="393">
        <v>1</v>
      </c>
      <c r="AC112" s="521"/>
    </row>
    <row r="113" spans="1:215" ht="12.75" customHeight="1" outlineLevel="2" x14ac:dyDescent="0.2">
      <c r="A113" s="495">
        <v>1</v>
      </c>
      <c r="B113" s="127">
        <v>19</v>
      </c>
      <c r="C113" s="129" t="s">
        <v>275</v>
      </c>
      <c r="D113" s="128" t="s">
        <v>283</v>
      </c>
      <c r="E113" s="357" t="s">
        <v>284</v>
      </c>
      <c r="F113" s="130" t="s">
        <v>106</v>
      </c>
      <c r="G113" s="131" t="s">
        <v>107</v>
      </c>
      <c r="H113" s="134" t="s">
        <v>8</v>
      </c>
      <c r="I113" s="134" t="s">
        <v>168</v>
      </c>
      <c r="J113" s="134"/>
      <c r="K113" s="134"/>
      <c r="L113" s="134"/>
      <c r="M113" s="177"/>
      <c r="N113" s="302">
        <f t="shared" si="37"/>
        <v>0</v>
      </c>
      <c r="O113" s="144">
        <v>2627</v>
      </c>
      <c r="P113" s="144">
        <v>2627</v>
      </c>
      <c r="Q113" s="144">
        <v>2627</v>
      </c>
      <c r="R113" s="144">
        <v>2627</v>
      </c>
      <c r="S113" s="132">
        <f t="shared" si="64"/>
        <v>0</v>
      </c>
      <c r="T113" s="132">
        <f t="shared" si="73"/>
        <v>0</v>
      </c>
      <c r="U113" s="132">
        <f t="shared" si="73"/>
        <v>0</v>
      </c>
      <c r="V113" s="132">
        <f t="shared" si="73"/>
        <v>0</v>
      </c>
      <c r="W113" s="132">
        <f t="shared" si="73"/>
        <v>0</v>
      </c>
      <c r="X113" s="132">
        <f t="shared" si="66"/>
        <v>0</v>
      </c>
      <c r="Y113" s="104" t="s">
        <v>968</v>
      </c>
      <c r="Z113" s="393">
        <v>1</v>
      </c>
      <c r="AC113" s="521"/>
    </row>
    <row r="114" spans="1:215" ht="12.75" customHeight="1" outlineLevel="2" x14ac:dyDescent="0.2">
      <c r="A114" s="495">
        <v>1</v>
      </c>
      <c r="B114" s="127">
        <v>19</v>
      </c>
      <c r="C114" s="129" t="s">
        <v>275</v>
      </c>
      <c r="D114" s="128" t="s">
        <v>149</v>
      </c>
      <c r="E114" s="358" t="s">
        <v>285</v>
      </c>
      <c r="F114" s="130" t="s">
        <v>106</v>
      </c>
      <c r="G114" s="143" t="s">
        <v>107</v>
      </c>
      <c r="H114" s="136" t="s">
        <v>9</v>
      </c>
      <c r="I114" s="134" t="s">
        <v>504</v>
      </c>
      <c r="J114" s="134">
        <v>46</v>
      </c>
      <c r="K114" s="134"/>
      <c r="L114" s="134"/>
      <c r="M114" s="177"/>
      <c r="N114" s="302">
        <f t="shared" si="37"/>
        <v>46</v>
      </c>
      <c r="O114" s="144">
        <v>2942</v>
      </c>
      <c r="P114" s="144">
        <v>2942</v>
      </c>
      <c r="Q114" s="144">
        <v>2942</v>
      </c>
      <c r="R114" s="144">
        <v>2942</v>
      </c>
      <c r="S114" s="132">
        <f t="shared" si="64"/>
        <v>135332</v>
      </c>
      <c r="T114" s="132">
        <f t="shared" si="73"/>
        <v>135332</v>
      </c>
      <c r="U114" s="132">
        <f t="shared" si="73"/>
        <v>0</v>
      </c>
      <c r="V114" s="132">
        <f t="shared" si="73"/>
        <v>0</v>
      </c>
      <c r="W114" s="132">
        <f t="shared" si="73"/>
        <v>0</v>
      </c>
      <c r="X114" s="132">
        <f t="shared" si="66"/>
        <v>135332</v>
      </c>
      <c r="Y114" s="104" t="s">
        <v>968</v>
      </c>
      <c r="Z114" s="393">
        <v>1</v>
      </c>
      <c r="AC114" s="521"/>
    </row>
    <row r="115" spans="1:215" ht="12.75" customHeight="1" outlineLevel="2" x14ac:dyDescent="0.2">
      <c r="A115" s="495">
        <v>1</v>
      </c>
      <c r="B115" s="127">
        <v>19</v>
      </c>
      <c r="C115" s="129" t="s">
        <v>275</v>
      </c>
      <c r="D115" s="128" t="s">
        <v>286</v>
      </c>
      <c r="E115" s="358" t="s">
        <v>287</v>
      </c>
      <c r="F115" s="130" t="s">
        <v>106</v>
      </c>
      <c r="G115" s="143" t="s">
        <v>107</v>
      </c>
      <c r="H115" s="136" t="s">
        <v>21</v>
      </c>
      <c r="I115" s="134" t="s">
        <v>504</v>
      </c>
      <c r="J115" s="134">
        <v>3</v>
      </c>
      <c r="K115" s="134"/>
      <c r="L115" s="134"/>
      <c r="M115" s="177"/>
      <c r="N115" s="302">
        <f t="shared" si="37"/>
        <v>3</v>
      </c>
      <c r="O115" s="144">
        <v>841</v>
      </c>
      <c r="P115" s="144">
        <v>841</v>
      </c>
      <c r="Q115" s="144">
        <v>841</v>
      </c>
      <c r="R115" s="144">
        <v>841</v>
      </c>
      <c r="S115" s="132">
        <f t="shared" si="64"/>
        <v>2523</v>
      </c>
      <c r="T115" s="132">
        <f t="shared" si="73"/>
        <v>2523</v>
      </c>
      <c r="U115" s="132">
        <f t="shared" si="73"/>
        <v>0</v>
      </c>
      <c r="V115" s="132">
        <f t="shared" si="73"/>
        <v>0</v>
      </c>
      <c r="W115" s="132">
        <f t="shared" si="73"/>
        <v>0</v>
      </c>
      <c r="X115" s="132">
        <f t="shared" si="66"/>
        <v>2523</v>
      </c>
      <c r="Y115" s="104" t="s">
        <v>968</v>
      </c>
      <c r="Z115" s="393">
        <v>1</v>
      </c>
      <c r="AC115" s="521"/>
    </row>
    <row r="116" spans="1:215" ht="12.75" customHeight="1" outlineLevel="2" x14ac:dyDescent="0.2">
      <c r="A116" s="495">
        <v>1</v>
      </c>
      <c r="B116" s="127">
        <v>19</v>
      </c>
      <c r="C116" s="129" t="s">
        <v>969</v>
      </c>
      <c r="D116" s="129" t="s">
        <v>970</v>
      </c>
      <c r="E116" s="358" t="s">
        <v>971</v>
      </c>
      <c r="F116" s="130" t="s">
        <v>106</v>
      </c>
      <c r="G116" s="143"/>
      <c r="H116" s="136" t="s">
        <v>8</v>
      </c>
      <c r="I116" s="134" t="s">
        <v>168</v>
      </c>
      <c r="J116" s="134">
        <v>424</v>
      </c>
      <c r="K116" s="134"/>
      <c r="L116" s="134"/>
      <c r="M116" s="177"/>
      <c r="N116" s="302">
        <f t="shared" si="37"/>
        <v>424</v>
      </c>
      <c r="O116" s="149">
        <v>4328</v>
      </c>
      <c r="P116" s="149">
        <v>4328</v>
      </c>
      <c r="Q116" s="619">
        <v>4328</v>
      </c>
      <c r="R116" s="144">
        <v>4202</v>
      </c>
      <c r="S116" s="132">
        <f t="shared" ref="S116:S120" si="74">SUMPRODUCT(J116:M116,O116:R116)</f>
        <v>1835072</v>
      </c>
      <c r="T116" s="132">
        <f t="shared" ref="T116:T120" si="75">IF(O116&gt;prisgrense,J116*prisgrense,J116*O116)</f>
        <v>1835072</v>
      </c>
      <c r="U116" s="132">
        <f t="shared" ref="U116:U120" si="76">IF(P116&gt;prisgrense,K116*prisgrense,K116*P116)</f>
        <v>0</v>
      </c>
      <c r="V116" s="132">
        <f t="shared" ref="V116:V120" si="77">IF(Q116&gt;prisgrense,L116*prisgrense,L116*Q116)</f>
        <v>0</v>
      </c>
      <c r="W116" s="132">
        <f t="shared" ref="W116:W120" si="78">IF(R116&gt;prisgrense,M116*prisgrense,M116*R116)</f>
        <v>0</v>
      </c>
      <c r="X116" s="132">
        <f t="shared" ref="X116:X120" si="79">SUM(T116:W116)</f>
        <v>1835072</v>
      </c>
      <c r="Y116" s="104" t="s">
        <v>979</v>
      </c>
      <c r="AC116" s="521"/>
    </row>
    <row r="117" spans="1:215" ht="12.75" customHeight="1" outlineLevel="2" x14ac:dyDescent="0.2">
      <c r="A117" s="495">
        <v>1</v>
      </c>
      <c r="B117" s="127">
        <v>19</v>
      </c>
      <c r="C117" s="129" t="s">
        <v>969</v>
      </c>
      <c r="D117" s="129" t="s">
        <v>972</v>
      </c>
      <c r="E117" s="358" t="s">
        <v>973</v>
      </c>
      <c r="F117" s="130" t="s">
        <v>106</v>
      </c>
      <c r="G117" s="143"/>
      <c r="H117" s="136" t="s">
        <v>8</v>
      </c>
      <c r="I117" s="134" t="s">
        <v>68</v>
      </c>
      <c r="J117" s="134">
        <v>1125</v>
      </c>
      <c r="K117" s="134"/>
      <c r="L117" s="134"/>
      <c r="M117" s="177"/>
      <c r="N117" s="302">
        <f t="shared" si="37"/>
        <v>1125</v>
      </c>
      <c r="O117" s="149">
        <v>4870</v>
      </c>
      <c r="P117" s="149">
        <v>4870</v>
      </c>
      <c r="Q117" s="619">
        <v>4870</v>
      </c>
      <c r="R117" s="144">
        <v>4728</v>
      </c>
      <c r="S117" s="132">
        <f t="shared" si="74"/>
        <v>5478750</v>
      </c>
      <c r="T117" s="132">
        <f t="shared" si="75"/>
        <v>5436000</v>
      </c>
      <c r="U117" s="132">
        <f t="shared" si="76"/>
        <v>0</v>
      </c>
      <c r="V117" s="132">
        <f t="shared" si="77"/>
        <v>0</v>
      </c>
      <c r="W117" s="132">
        <f t="shared" si="78"/>
        <v>0</v>
      </c>
      <c r="X117" s="132">
        <f t="shared" si="79"/>
        <v>5436000</v>
      </c>
      <c r="Y117" s="104" t="s">
        <v>979</v>
      </c>
      <c r="AC117" s="521"/>
    </row>
    <row r="118" spans="1:215" ht="12.75" customHeight="1" outlineLevel="2" x14ac:dyDescent="0.2">
      <c r="A118" s="495">
        <v>1</v>
      </c>
      <c r="B118" s="127">
        <v>19</v>
      </c>
      <c r="C118" s="129" t="s">
        <v>969</v>
      </c>
      <c r="D118" s="134" t="s">
        <v>974</v>
      </c>
      <c r="E118" s="358" t="s">
        <v>975</v>
      </c>
      <c r="F118" s="130" t="s">
        <v>106</v>
      </c>
      <c r="G118" s="143"/>
      <c r="H118" s="136" t="s">
        <v>8</v>
      </c>
      <c r="I118" s="134" t="s">
        <v>68</v>
      </c>
      <c r="J118" s="134">
        <v>1208</v>
      </c>
      <c r="K118" s="134"/>
      <c r="L118" s="134"/>
      <c r="M118" s="177"/>
      <c r="N118" s="302">
        <f t="shared" si="37"/>
        <v>1208</v>
      </c>
      <c r="O118" s="149">
        <v>4870</v>
      </c>
      <c r="P118" s="149">
        <v>4870</v>
      </c>
      <c r="Q118" s="619">
        <v>4870</v>
      </c>
      <c r="R118" s="144">
        <v>4728</v>
      </c>
      <c r="S118" s="132">
        <f t="shared" si="74"/>
        <v>5882960</v>
      </c>
      <c r="T118" s="132">
        <f t="shared" si="75"/>
        <v>5837056</v>
      </c>
      <c r="U118" s="132">
        <f t="shared" si="76"/>
        <v>0</v>
      </c>
      <c r="V118" s="132">
        <f t="shared" si="77"/>
        <v>0</v>
      </c>
      <c r="W118" s="132">
        <f t="shared" si="78"/>
        <v>0</v>
      </c>
      <c r="X118" s="132">
        <f t="shared" si="79"/>
        <v>5837056</v>
      </c>
      <c r="Y118" s="104" t="s">
        <v>979</v>
      </c>
      <c r="AC118" s="521"/>
    </row>
    <row r="119" spans="1:215" ht="12.75" customHeight="1" outlineLevel="2" x14ac:dyDescent="0.2">
      <c r="A119" s="495">
        <v>1</v>
      </c>
      <c r="B119" s="127">
        <v>19</v>
      </c>
      <c r="C119" s="129" t="s">
        <v>969</v>
      </c>
      <c r="D119" s="134" t="s">
        <v>976</v>
      </c>
      <c r="E119" s="358" t="s">
        <v>977</v>
      </c>
      <c r="F119" s="130" t="s">
        <v>106</v>
      </c>
      <c r="G119" s="143"/>
      <c r="H119" s="136" t="s">
        <v>9</v>
      </c>
      <c r="I119" s="134" t="s">
        <v>504</v>
      </c>
      <c r="J119" s="134">
        <v>125</v>
      </c>
      <c r="K119" s="134"/>
      <c r="L119" s="134"/>
      <c r="M119" s="177"/>
      <c r="N119" s="302">
        <f t="shared" si="37"/>
        <v>125</v>
      </c>
      <c r="O119" s="149">
        <v>3030</v>
      </c>
      <c r="P119" s="149">
        <v>3030</v>
      </c>
      <c r="Q119" s="619">
        <v>3030</v>
      </c>
      <c r="R119" s="144">
        <v>2942</v>
      </c>
      <c r="S119" s="132">
        <f t="shared" si="74"/>
        <v>378750</v>
      </c>
      <c r="T119" s="132">
        <f t="shared" si="75"/>
        <v>378750</v>
      </c>
      <c r="U119" s="132">
        <f t="shared" si="76"/>
        <v>0</v>
      </c>
      <c r="V119" s="132">
        <f t="shared" si="77"/>
        <v>0</v>
      </c>
      <c r="W119" s="132">
        <f t="shared" si="78"/>
        <v>0</v>
      </c>
      <c r="X119" s="132">
        <f t="shared" si="79"/>
        <v>378750</v>
      </c>
      <c r="Y119" s="104" t="s">
        <v>979</v>
      </c>
      <c r="AC119" s="521"/>
    </row>
    <row r="120" spans="1:215" ht="12.75" customHeight="1" outlineLevel="2" x14ac:dyDescent="0.2">
      <c r="A120" s="495">
        <v>1</v>
      </c>
      <c r="B120" s="127">
        <v>19</v>
      </c>
      <c r="C120" s="129" t="s">
        <v>969</v>
      </c>
      <c r="D120" s="134" t="s">
        <v>978</v>
      </c>
      <c r="E120" s="358">
        <v>188698</v>
      </c>
      <c r="F120" s="130" t="s">
        <v>106</v>
      </c>
      <c r="G120" s="143"/>
      <c r="H120" s="136" t="s">
        <v>21</v>
      </c>
      <c r="I120" s="134" t="s">
        <v>504</v>
      </c>
      <c r="J120" s="134">
        <v>15</v>
      </c>
      <c r="K120" s="134"/>
      <c r="L120" s="134"/>
      <c r="M120" s="177"/>
      <c r="N120" s="302">
        <f t="shared" si="37"/>
        <v>15</v>
      </c>
      <c r="O120" s="149">
        <v>866</v>
      </c>
      <c r="P120" s="149">
        <v>866</v>
      </c>
      <c r="Q120" s="619">
        <v>866</v>
      </c>
      <c r="R120" s="144">
        <v>841</v>
      </c>
      <c r="S120" s="132">
        <f t="shared" si="74"/>
        <v>12990</v>
      </c>
      <c r="T120" s="132">
        <f t="shared" si="75"/>
        <v>12990</v>
      </c>
      <c r="U120" s="132">
        <f t="shared" si="76"/>
        <v>0</v>
      </c>
      <c r="V120" s="132">
        <f t="shared" si="77"/>
        <v>0</v>
      </c>
      <c r="W120" s="132">
        <f t="shared" si="78"/>
        <v>0</v>
      </c>
      <c r="X120" s="132">
        <f t="shared" si="79"/>
        <v>12990</v>
      </c>
      <c r="Y120" s="104" t="s">
        <v>979</v>
      </c>
      <c r="AC120" s="521"/>
    </row>
    <row r="121" spans="1:215" ht="12.75" customHeight="1" outlineLevel="2" x14ac:dyDescent="0.2">
      <c r="A121" s="495">
        <v>1</v>
      </c>
      <c r="B121" s="127">
        <v>20</v>
      </c>
      <c r="C121" s="134" t="s">
        <v>288</v>
      </c>
      <c r="D121" s="134" t="s">
        <v>289</v>
      </c>
      <c r="E121" s="359" t="s">
        <v>290</v>
      </c>
      <c r="F121" s="164" t="s">
        <v>109</v>
      </c>
      <c r="G121" s="133" t="s">
        <v>291</v>
      </c>
      <c r="H121" s="133" t="s">
        <v>8</v>
      </c>
      <c r="I121" s="134" t="s">
        <v>168</v>
      </c>
      <c r="J121" s="134"/>
      <c r="K121" s="134"/>
      <c r="L121" s="134"/>
      <c r="M121" s="177"/>
      <c r="N121" s="302">
        <f t="shared" si="37"/>
        <v>0</v>
      </c>
      <c r="O121" s="146">
        <v>2597</v>
      </c>
      <c r="P121" s="146">
        <v>2597</v>
      </c>
      <c r="Q121" s="622">
        <v>2597</v>
      </c>
      <c r="R121" s="146">
        <v>2521</v>
      </c>
      <c r="S121" s="132">
        <f t="shared" si="64"/>
        <v>0</v>
      </c>
      <c r="T121" s="132">
        <f t="shared" si="73"/>
        <v>0</v>
      </c>
      <c r="U121" s="132">
        <f t="shared" si="73"/>
        <v>0</v>
      </c>
      <c r="V121" s="132">
        <f t="shared" si="73"/>
        <v>0</v>
      </c>
      <c r="W121" s="132">
        <f t="shared" si="73"/>
        <v>0</v>
      </c>
      <c r="X121" s="132">
        <f t="shared" si="66"/>
        <v>0</v>
      </c>
      <c r="Y121" s="104"/>
      <c r="AC121" s="521"/>
    </row>
    <row r="122" spans="1:215" ht="12.75" customHeight="1" outlineLevel="2" x14ac:dyDescent="0.2">
      <c r="A122" s="495">
        <v>1</v>
      </c>
      <c r="B122" s="127">
        <v>20</v>
      </c>
      <c r="C122" s="134" t="s">
        <v>288</v>
      </c>
      <c r="D122" s="134" t="s">
        <v>292</v>
      </c>
      <c r="E122" s="359" t="s">
        <v>293</v>
      </c>
      <c r="F122" s="164" t="s">
        <v>109</v>
      </c>
      <c r="G122" s="133" t="s">
        <v>291</v>
      </c>
      <c r="H122" s="136" t="s">
        <v>8</v>
      </c>
      <c r="I122" s="134" t="s">
        <v>128</v>
      </c>
      <c r="J122" s="134">
        <v>2</v>
      </c>
      <c r="K122" s="134"/>
      <c r="L122" s="134"/>
      <c r="M122" s="177"/>
      <c r="N122" s="302">
        <f t="shared" si="37"/>
        <v>2</v>
      </c>
      <c r="O122" s="146">
        <v>4328</v>
      </c>
      <c r="P122" s="146">
        <v>4328</v>
      </c>
      <c r="Q122" s="622">
        <v>4328</v>
      </c>
      <c r="R122" s="146">
        <v>4202</v>
      </c>
      <c r="S122" s="132">
        <f t="shared" si="64"/>
        <v>8656</v>
      </c>
      <c r="T122" s="132">
        <f t="shared" si="73"/>
        <v>8656</v>
      </c>
      <c r="U122" s="132">
        <f t="shared" si="73"/>
        <v>0</v>
      </c>
      <c r="V122" s="132">
        <f t="shared" si="73"/>
        <v>0</v>
      </c>
      <c r="W122" s="132">
        <f t="shared" si="73"/>
        <v>0</v>
      </c>
      <c r="X122" s="132">
        <f t="shared" si="66"/>
        <v>8656</v>
      </c>
      <c r="Y122" s="104"/>
      <c r="AC122" s="521"/>
    </row>
    <row r="123" spans="1:215" ht="12.75" customHeight="1" outlineLevel="2" x14ac:dyDescent="0.2">
      <c r="A123" s="495">
        <v>1</v>
      </c>
      <c r="B123" s="127">
        <v>20</v>
      </c>
      <c r="C123" s="134" t="s">
        <v>288</v>
      </c>
      <c r="D123" s="134" t="s">
        <v>294</v>
      </c>
      <c r="E123" s="359" t="s">
        <v>295</v>
      </c>
      <c r="F123" s="164" t="s">
        <v>109</v>
      </c>
      <c r="G123" s="133" t="s">
        <v>291</v>
      </c>
      <c r="H123" s="136" t="s">
        <v>8</v>
      </c>
      <c r="I123" s="134" t="s">
        <v>68</v>
      </c>
      <c r="J123" s="134"/>
      <c r="K123" s="134"/>
      <c r="L123" s="134"/>
      <c r="M123" s="177"/>
      <c r="N123" s="302">
        <f t="shared" si="37"/>
        <v>0</v>
      </c>
      <c r="O123" s="146">
        <v>3462</v>
      </c>
      <c r="P123" s="146">
        <v>3462</v>
      </c>
      <c r="Q123" s="622">
        <v>3462</v>
      </c>
      <c r="R123" s="146">
        <v>3361</v>
      </c>
      <c r="S123" s="132">
        <f t="shared" si="64"/>
        <v>0</v>
      </c>
      <c r="T123" s="132">
        <f t="shared" si="73"/>
        <v>0</v>
      </c>
      <c r="U123" s="132">
        <f t="shared" si="73"/>
        <v>0</v>
      </c>
      <c r="V123" s="132">
        <f t="shared" si="73"/>
        <v>0</v>
      </c>
      <c r="W123" s="132">
        <f t="shared" si="73"/>
        <v>0</v>
      </c>
      <c r="X123" s="132">
        <f t="shared" si="66"/>
        <v>0</v>
      </c>
      <c r="Y123" s="104"/>
      <c r="AC123" s="521"/>
    </row>
    <row r="124" spans="1:215" ht="12.75" customHeight="1" outlineLevel="2" x14ac:dyDescent="0.2">
      <c r="A124" s="495">
        <v>1</v>
      </c>
      <c r="B124" s="127">
        <v>20</v>
      </c>
      <c r="C124" s="134" t="s">
        <v>288</v>
      </c>
      <c r="D124" s="134" t="s">
        <v>296</v>
      </c>
      <c r="E124" s="359" t="s">
        <v>297</v>
      </c>
      <c r="F124" s="164" t="s">
        <v>109</v>
      </c>
      <c r="G124" s="133" t="s">
        <v>291</v>
      </c>
      <c r="H124" s="136" t="s">
        <v>9</v>
      </c>
      <c r="I124" s="134" t="s">
        <v>504</v>
      </c>
      <c r="J124" s="134"/>
      <c r="K124" s="134"/>
      <c r="L124" s="134"/>
      <c r="M124" s="177"/>
      <c r="N124" s="302">
        <f t="shared" si="37"/>
        <v>0</v>
      </c>
      <c r="O124" s="146">
        <v>1082</v>
      </c>
      <c r="P124" s="146">
        <v>1082</v>
      </c>
      <c r="Q124" s="622">
        <v>1082</v>
      </c>
      <c r="R124" s="146">
        <v>1050</v>
      </c>
      <c r="S124" s="132">
        <f t="shared" si="64"/>
        <v>0</v>
      </c>
      <c r="T124" s="132">
        <f t="shared" si="73"/>
        <v>0</v>
      </c>
      <c r="U124" s="132">
        <f t="shared" si="73"/>
        <v>0</v>
      </c>
      <c r="V124" s="132">
        <f t="shared" si="73"/>
        <v>0</v>
      </c>
      <c r="W124" s="132">
        <f t="shared" si="73"/>
        <v>0</v>
      </c>
      <c r="X124" s="132">
        <f t="shared" si="66"/>
        <v>0</v>
      </c>
      <c r="Y124" s="104"/>
      <c r="AC124" s="521"/>
    </row>
    <row r="125" spans="1:215" ht="12.75" customHeight="1" outlineLevel="2" x14ac:dyDescent="0.2">
      <c r="A125" s="495">
        <v>1</v>
      </c>
      <c r="B125" s="127">
        <v>20</v>
      </c>
      <c r="C125" s="134" t="s">
        <v>288</v>
      </c>
      <c r="D125" s="134" t="s">
        <v>298</v>
      </c>
      <c r="E125" s="359" t="s">
        <v>299</v>
      </c>
      <c r="F125" s="164" t="s">
        <v>109</v>
      </c>
      <c r="G125" s="133" t="s">
        <v>291</v>
      </c>
      <c r="H125" s="136" t="s">
        <v>9</v>
      </c>
      <c r="I125" s="134" t="s">
        <v>504</v>
      </c>
      <c r="J125" s="134"/>
      <c r="K125" s="134"/>
      <c r="L125" s="134"/>
      <c r="M125" s="177"/>
      <c r="N125" s="302">
        <f t="shared" si="37"/>
        <v>0</v>
      </c>
      <c r="O125" s="146">
        <v>1082</v>
      </c>
      <c r="P125" s="146">
        <v>1082</v>
      </c>
      <c r="Q125" s="622">
        <v>1082</v>
      </c>
      <c r="R125" s="146">
        <v>1050</v>
      </c>
      <c r="S125" s="132">
        <f t="shared" si="64"/>
        <v>0</v>
      </c>
      <c r="T125" s="132">
        <f t="shared" si="73"/>
        <v>0</v>
      </c>
      <c r="U125" s="132">
        <f t="shared" si="73"/>
        <v>0</v>
      </c>
      <c r="V125" s="132">
        <f t="shared" si="73"/>
        <v>0</v>
      </c>
      <c r="W125" s="132">
        <f t="shared" si="73"/>
        <v>0</v>
      </c>
      <c r="X125" s="132">
        <f t="shared" si="66"/>
        <v>0</v>
      </c>
      <c r="Y125" s="104"/>
      <c r="AC125" s="521"/>
    </row>
    <row r="126" spans="1:215" ht="12.75" customHeight="1" outlineLevel="2" x14ac:dyDescent="0.2">
      <c r="A126" s="495">
        <v>1</v>
      </c>
      <c r="B126" s="127">
        <v>20</v>
      </c>
      <c r="C126" s="134" t="s">
        <v>288</v>
      </c>
      <c r="D126" s="134" t="s">
        <v>300</v>
      </c>
      <c r="E126" s="359" t="s">
        <v>301</v>
      </c>
      <c r="F126" s="164" t="s">
        <v>109</v>
      </c>
      <c r="G126" s="133" t="s">
        <v>291</v>
      </c>
      <c r="H126" s="136" t="s">
        <v>21</v>
      </c>
      <c r="I126" s="134" t="s">
        <v>504</v>
      </c>
      <c r="J126" s="134"/>
      <c r="K126" s="134"/>
      <c r="L126" s="134"/>
      <c r="M126" s="177"/>
      <c r="N126" s="302">
        <f t="shared" si="37"/>
        <v>0</v>
      </c>
      <c r="O126" s="146">
        <v>1082</v>
      </c>
      <c r="P126" s="146">
        <v>1082</v>
      </c>
      <c r="Q126" s="622">
        <v>1082</v>
      </c>
      <c r="R126" s="146">
        <v>1050</v>
      </c>
      <c r="S126" s="132">
        <f t="shared" si="64"/>
        <v>0</v>
      </c>
      <c r="T126" s="132">
        <f t="shared" si="73"/>
        <v>0</v>
      </c>
      <c r="U126" s="132">
        <f t="shared" si="73"/>
        <v>0</v>
      </c>
      <c r="V126" s="132">
        <f t="shared" si="73"/>
        <v>0</v>
      </c>
      <c r="W126" s="132">
        <f t="shared" si="73"/>
        <v>0</v>
      </c>
      <c r="X126" s="132">
        <f t="shared" si="66"/>
        <v>0</v>
      </c>
      <c r="Y126" s="104"/>
      <c r="AC126" s="521"/>
    </row>
    <row r="127" spans="1:215" ht="12.75" customHeight="1" outlineLevel="2" x14ac:dyDescent="0.2">
      <c r="A127" s="495">
        <v>1</v>
      </c>
      <c r="B127" s="127">
        <v>21</v>
      </c>
      <c r="C127" s="134" t="s">
        <v>302</v>
      </c>
      <c r="D127" s="134" t="s">
        <v>573</v>
      </c>
      <c r="E127" s="359" t="s">
        <v>574</v>
      </c>
      <c r="F127" s="164" t="s">
        <v>106</v>
      </c>
      <c r="G127" s="133" t="s">
        <v>107</v>
      </c>
      <c r="H127" s="136" t="s">
        <v>8</v>
      </c>
      <c r="I127" s="134" t="s">
        <v>128</v>
      </c>
      <c r="J127" s="134">
        <v>30</v>
      </c>
      <c r="K127" s="134"/>
      <c r="L127" s="134"/>
      <c r="M127" s="177"/>
      <c r="N127" s="302">
        <f t="shared" si="37"/>
        <v>30</v>
      </c>
      <c r="O127" s="144">
        <v>4770</v>
      </c>
      <c r="P127" s="144">
        <v>4770</v>
      </c>
      <c r="Q127" s="618">
        <v>4770</v>
      </c>
      <c r="R127" s="144">
        <v>4770</v>
      </c>
      <c r="S127" s="132">
        <f t="shared" ref="S127" si="80">SUMPRODUCT(J127:M127,O127:R127)</f>
        <v>143100</v>
      </c>
      <c r="T127" s="132">
        <f t="shared" ref="T127" si="81">IF(O127&gt;prisgrense,J127*prisgrense,J127*O127)</f>
        <v>143100</v>
      </c>
      <c r="U127" s="132">
        <f t="shared" ref="U127" si="82">IF(P127&gt;prisgrense,K127*prisgrense,K127*P127)</f>
        <v>0</v>
      </c>
      <c r="V127" s="132">
        <f>IF(Q127&gt;prisgrense,L127*prisgrense,L127*Q127)</f>
        <v>0</v>
      </c>
      <c r="W127" s="132">
        <f t="shared" ref="W127" si="83">IF(R127&gt;prisgrense,M127*prisgrense,M127*R127)</f>
        <v>0</v>
      </c>
      <c r="X127" s="132">
        <f t="shared" ref="X127" si="84">SUM(T127:W127)</f>
        <v>143100</v>
      </c>
      <c r="Y127" s="104" t="s">
        <v>532</v>
      </c>
      <c r="AC127" s="521"/>
    </row>
    <row r="128" spans="1:215" ht="12.75" customHeight="1" outlineLevel="2" x14ac:dyDescent="0.2">
      <c r="A128" s="495">
        <v>1</v>
      </c>
      <c r="B128" s="127">
        <v>21</v>
      </c>
      <c r="C128" s="129" t="s">
        <v>302</v>
      </c>
      <c r="D128" s="129" t="s">
        <v>303</v>
      </c>
      <c r="E128" s="184" t="s">
        <v>304</v>
      </c>
      <c r="F128" s="130" t="s">
        <v>106</v>
      </c>
      <c r="G128" s="143" t="s">
        <v>107</v>
      </c>
      <c r="H128" s="134" t="s">
        <v>8</v>
      </c>
      <c r="I128" s="134" t="s">
        <v>168</v>
      </c>
      <c r="J128" s="134">
        <v>83</v>
      </c>
      <c r="K128" s="134"/>
      <c r="L128" s="134"/>
      <c r="M128" s="177"/>
      <c r="N128" s="302">
        <f t="shared" si="37"/>
        <v>83</v>
      </c>
      <c r="O128" s="144">
        <v>4770</v>
      </c>
      <c r="P128" s="144">
        <v>4770</v>
      </c>
      <c r="Q128" s="618">
        <v>4770</v>
      </c>
      <c r="R128" s="144">
        <v>4770</v>
      </c>
      <c r="S128" s="132">
        <f t="shared" si="64"/>
        <v>395910</v>
      </c>
      <c r="T128" s="132">
        <f t="shared" si="73"/>
        <v>395910</v>
      </c>
      <c r="U128" s="132">
        <f t="shared" si="73"/>
        <v>0</v>
      </c>
      <c r="V128" s="132">
        <f t="shared" si="73"/>
        <v>0</v>
      </c>
      <c r="W128" s="132">
        <f t="shared" si="73"/>
        <v>0</v>
      </c>
      <c r="X128" s="132">
        <f t="shared" si="66"/>
        <v>395910</v>
      </c>
      <c r="Z128" s="394"/>
      <c r="AA128" s="139"/>
      <c r="AB128" s="139"/>
      <c r="AC128" s="521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  <c r="CJ128" s="139"/>
      <c r="CK128" s="139"/>
      <c r="CL128" s="139"/>
      <c r="CM128" s="139"/>
      <c r="CN128" s="139"/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39"/>
      <c r="DB128" s="139"/>
      <c r="DC128" s="139"/>
      <c r="DD128" s="139"/>
      <c r="DE128" s="139"/>
      <c r="DF128" s="139"/>
      <c r="DG128" s="139"/>
      <c r="DH128" s="139"/>
      <c r="DI128" s="139"/>
      <c r="DJ128" s="139"/>
      <c r="DK128" s="139"/>
      <c r="DL128" s="139"/>
      <c r="DM128" s="139"/>
      <c r="DN128" s="139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39"/>
      <c r="ED128" s="139"/>
      <c r="EE128" s="139"/>
      <c r="EF128" s="139"/>
      <c r="EG128" s="139"/>
      <c r="EH128" s="139"/>
      <c r="EI128" s="139"/>
      <c r="EJ128" s="139"/>
      <c r="EK128" s="139"/>
      <c r="EL128" s="139"/>
      <c r="EM128" s="139"/>
      <c r="EN128" s="139"/>
      <c r="EO128" s="139"/>
      <c r="EP128" s="139"/>
      <c r="EQ128" s="139"/>
      <c r="ER128" s="139"/>
      <c r="ES128" s="139"/>
      <c r="ET128" s="139"/>
      <c r="EU128" s="139"/>
      <c r="EV128" s="139"/>
      <c r="EW128" s="139"/>
      <c r="EX128" s="139"/>
      <c r="EY128" s="139"/>
      <c r="EZ128" s="139"/>
      <c r="FA128" s="139"/>
      <c r="FB128" s="139"/>
      <c r="FC128" s="139"/>
      <c r="FD128" s="139"/>
      <c r="FE128" s="139"/>
      <c r="FF128" s="139"/>
      <c r="FG128" s="139"/>
      <c r="FH128" s="139"/>
      <c r="FI128" s="139"/>
      <c r="FJ128" s="139"/>
      <c r="FK128" s="139"/>
      <c r="FL128" s="139"/>
      <c r="FM128" s="139"/>
      <c r="FN128" s="139"/>
      <c r="FO128" s="139"/>
      <c r="FP128" s="139"/>
      <c r="FQ128" s="139"/>
      <c r="FR128" s="139"/>
      <c r="FS128" s="139"/>
      <c r="FT128" s="139"/>
      <c r="FU128" s="139"/>
      <c r="FV128" s="139"/>
      <c r="FW128" s="139"/>
      <c r="FX128" s="139"/>
      <c r="FY128" s="139"/>
      <c r="FZ128" s="139"/>
      <c r="GA128" s="139"/>
      <c r="GB128" s="139"/>
      <c r="GC128" s="139"/>
      <c r="GD128" s="139"/>
      <c r="GE128" s="139"/>
      <c r="GF128" s="139"/>
      <c r="GG128" s="139"/>
      <c r="GH128" s="139"/>
      <c r="GI128" s="139"/>
      <c r="GJ128" s="139"/>
      <c r="GK128" s="139"/>
      <c r="GL128" s="139"/>
      <c r="GM128" s="139"/>
      <c r="GN128" s="139"/>
      <c r="GO128" s="139"/>
      <c r="GP128" s="139"/>
      <c r="GQ128" s="139"/>
      <c r="GR128" s="139"/>
      <c r="GS128" s="139"/>
      <c r="GT128" s="139"/>
      <c r="GU128" s="139"/>
      <c r="GV128" s="139"/>
      <c r="GW128" s="139"/>
      <c r="GX128" s="139"/>
      <c r="GY128" s="139"/>
      <c r="GZ128" s="139"/>
      <c r="HA128" s="139"/>
      <c r="HB128" s="139"/>
      <c r="HC128" s="139"/>
      <c r="HD128" s="139"/>
      <c r="HE128" s="139"/>
      <c r="HF128" s="139"/>
      <c r="HG128" s="139"/>
    </row>
    <row r="129" spans="1:215" ht="12.75" customHeight="1" outlineLevel="2" x14ac:dyDescent="0.2">
      <c r="A129" s="495">
        <v>1</v>
      </c>
      <c r="B129" s="127">
        <v>21</v>
      </c>
      <c r="C129" s="129" t="s">
        <v>302</v>
      </c>
      <c r="D129" s="129" t="s">
        <v>305</v>
      </c>
      <c r="E129" s="184" t="s">
        <v>306</v>
      </c>
      <c r="F129" s="130" t="s">
        <v>106</v>
      </c>
      <c r="G129" s="143" t="s">
        <v>107</v>
      </c>
      <c r="H129" s="134" t="s">
        <v>8</v>
      </c>
      <c r="I129" s="134" t="s">
        <v>68</v>
      </c>
      <c r="J129" s="134">
        <v>43</v>
      </c>
      <c r="K129" s="134"/>
      <c r="L129" s="134"/>
      <c r="M129" s="177"/>
      <c r="N129" s="302">
        <f t="shared" ref="N129:N195" si="85">SUM(J129:M129)</f>
        <v>43</v>
      </c>
      <c r="O129" s="144">
        <v>4978</v>
      </c>
      <c r="P129" s="144">
        <v>4978</v>
      </c>
      <c r="Q129" s="618">
        <v>4978</v>
      </c>
      <c r="R129" s="144">
        <v>4978</v>
      </c>
      <c r="S129" s="132">
        <f t="shared" si="64"/>
        <v>214054</v>
      </c>
      <c r="T129" s="132">
        <f t="shared" ref="T129:W134" si="86">IF(O129&gt;prisgrense,J129*prisgrense,J129*O129)</f>
        <v>207776</v>
      </c>
      <c r="U129" s="132">
        <f t="shared" si="86"/>
        <v>0</v>
      </c>
      <c r="V129" s="132">
        <f t="shared" si="86"/>
        <v>0</v>
      </c>
      <c r="W129" s="132">
        <f t="shared" si="86"/>
        <v>0</v>
      </c>
      <c r="X129" s="132">
        <f t="shared" si="66"/>
        <v>207776</v>
      </c>
      <c r="Y129" s="104"/>
      <c r="AC129" s="521"/>
    </row>
    <row r="130" spans="1:215" ht="12.75" customHeight="1" outlineLevel="2" x14ac:dyDescent="0.2">
      <c r="A130" s="495">
        <v>1</v>
      </c>
      <c r="B130" s="127">
        <v>21</v>
      </c>
      <c r="C130" s="129" t="s">
        <v>302</v>
      </c>
      <c r="D130" s="129" t="s">
        <v>307</v>
      </c>
      <c r="E130" s="184" t="s">
        <v>308</v>
      </c>
      <c r="F130" s="130" t="s">
        <v>106</v>
      </c>
      <c r="G130" s="143" t="s">
        <v>107</v>
      </c>
      <c r="H130" s="134" t="s">
        <v>8</v>
      </c>
      <c r="I130" s="134" t="s">
        <v>68</v>
      </c>
      <c r="J130" s="134">
        <v>28</v>
      </c>
      <c r="K130" s="134"/>
      <c r="L130" s="134"/>
      <c r="M130" s="177"/>
      <c r="N130" s="302">
        <f t="shared" si="85"/>
        <v>28</v>
      </c>
      <c r="O130" s="144">
        <v>4978</v>
      </c>
      <c r="P130" s="144">
        <v>4978</v>
      </c>
      <c r="Q130" s="618">
        <v>4978</v>
      </c>
      <c r="R130" s="144">
        <v>4978</v>
      </c>
      <c r="S130" s="132">
        <f t="shared" ref="S130:S134" si="87">SUMPRODUCT(J130:M130,O130:R130)</f>
        <v>139384</v>
      </c>
      <c r="T130" s="132">
        <f t="shared" si="86"/>
        <v>135296</v>
      </c>
      <c r="U130" s="132">
        <f t="shared" si="86"/>
        <v>0</v>
      </c>
      <c r="V130" s="132">
        <f t="shared" si="86"/>
        <v>0</v>
      </c>
      <c r="W130" s="132">
        <f t="shared" si="86"/>
        <v>0</v>
      </c>
      <c r="X130" s="132">
        <f t="shared" ref="X130:X134" si="88">SUM(T130:W130)</f>
        <v>135296</v>
      </c>
      <c r="Y130" s="104"/>
      <c r="AC130" s="521"/>
    </row>
    <row r="131" spans="1:215" s="139" customFormat="1" ht="12.75" customHeight="1" outlineLevel="2" x14ac:dyDescent="0.2">
      <c r="A131" s="495">
        <v>1</v>
      </c>
      <c r="B131" s="127">
        <v>21</v>
      </c>
      <c r="C131" s="129" t="s">
        <v>302</v>
      </c>
      <c r="D131" s="129" t="s">
        <v>309</v>
      </c>
      <c r="E131" s="184" t="s">
        <v>284</v>
      </c>
      <c r="F131" s="130" t="s">
        <v>106</v>
      </c>
      <c r="G131" s="143" t="s">
        <v>107</v>
      </c>
      <c r="H131" s="134" t="s">
        <v>8</v>
      </c>
      <c r="I131" s="134" t="s">
        <v>168</v>
      </c>
      <c r="J131" s="134">
        <v>3</v>
      </c>
      <c r="K131" s="134"/>
      <c r="L131" s="134"/>
      <c r="M131" s="177"/>
      <c r="N131" s="302">
        <f t="shared" si="85"/>
        <v>3</v>
      </c>
      <c r="O131" s="144">
        <v>3030</v>
      </c>
      <c r="P131" s="144">
        <v>3030</v>
      </c>
      <c r="Q131" s="618">
        <v>3030</v>
      </c>
      <c r="R131" s="144">
        <v>2942</v>
      </c>
      <c r="S131" s="132">
        <f t="shared" si="87"/>
        <v>9090</v>
      </c>
      <c r="T131" s="132">
        <f t="shared" si="86"/>
        <v>9090</v>
      </c>
      <c r="U131" s="132">
        <f t="shared" si="86"/>
        <v>0</v>
      </c>
      <c r="V131" s="132">
        <f t="shared" si="86"/>
        <v>0</v>
      </c>
      <c r="W131" s="132">
        <f t="shared" si="86"/>
        <v>0</v>
      </c>
      <c r="X131" s="132">
        <f t="shared" si="88"/>
        <v>9090</v>
      </c>
      <c r="Y131" s="104"/>
      <c r="Z131" s="393"/>
      <c r="AA131" s="104"/>
      <c r="AB131" s="104"/>
      <c r="AC131" s="521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 s="104"/>
      <c r="CG131" s="104"/>
      <c r="CH131" s="104"/>
      <c r="CI131" s="104"/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04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  <c r="EC131" s="104"/>
      <c r="ED131" s="104"/>
      <c r="EE131" s="104"/>
      <c r="EF131" s="104"/>
      <c r="EG131" s="104"/>
      <c r="EH131" s="104"/>
      <c r="EI131" s="104"/>
      <c r="EJ131" s="104"/>
      <c r="EK131" s="104"/>
      <c r="EL131" s="104"/>
      <c r="EM131" s="104"/>
      <c r="EN131" s="104"/>
      <c r="EO131" s="104"/>
      <c r="EP131" s="104"/>
      <c r="EQ131" s="104"/>
      <c r="ER131" s="104"/>
      <c r="ES131" s="104"/>
      <c r="ET131" s="104"/>
      <c r="EU131" s="104"/>
      <c r="EV131" s="104"/>
      <c r="EW131" s="104"/>
      <c r="EX131" s="104"/>
      <c r="EY131" s="104"/>
      <c r="EZ131" s="104"/>
      <c r="FA131" s="104"/>
      <c r="FB131" s="104"/>
      <c r="FC131" s="104"/>
      <c r="FD131" s="104"/>
      <c r="FE131" s="104"/>
      <c r="FF131" s="104"/>
      <c r="FG131" s="104"/>
      <c r="FH131" s="104"/>
      <c r="FI131" s="104"/>
      <c r="FJ131" s="104"/>
      <c r="FK131" s="104"/>
      <c r="FL131" s="104"/>
      <c r="FM131" s="104"/>
      <c r="FN131" s="104"/>
      <c r="FO131" s="104"/>
      <c r="FP131" s="104"/>
      <c r="FQ131" s="104"/>
      <c r="FR131" s="104"/>
      <c r="FS131" s="104"/>
      <c r="FT131" s="104"/>
      <c r="FU131" s="104"/>
      <c r="FV131" s="104"/>
      <c r="FW131" s="104"/>
      <c r="FX131" s="104"/>
      <c r="FY131" s="104"/>
      <c r="FZ131" s="104"/>
      <c r="GA131" s="104"/>
      <c r="GB131" s="104"/>
      <c r="GC131" s="104"/>
      <c r="GD131" s="104"/>
      <c r="GE131" s="104"/>
      <c r="GF131" s="104"/>
      <c r="GG131" s="104"/>
      <c r="GH131" s="104"/>
      <c r="GI131" s="104"/>
      <c r="GJ131" s="104"/>
      <c r="GK131" s="104"/>
      <c r="GL131" s="104"/>
      <c r="GM131" s="104"/>
      <c r="GN131" s="104"/>
      <c r="GO131" s="104"/>
      <c r="GP131" s="104"/>
      <c r="GQ131" s="104"/>
      <c r="GR131" s="104"/>
      <c r="GS131" s="104"/>
      <c r="GT131" s="104"/>
      <c r="GU131" s="104"/>
      <c r="GV131" s="104"/>
      <c r="GW131" s="104"/>
      <c r="GX131" s="104"/>
      <c r="GY131" s="104"/>
      <c r="GZ131" s="104"/>
      <c r="HA131" s="104"/>
      <c r="HB131" s="104"/>
      <c r="HC131" s="104"/>
      <c r="HD131" s="104"/>
      <c r="HE131" s="104"/>
      <c r="HF131" s="104"/>
      <c r="HG131" s="104"/>
    </row>
    <row r="132" spans="1:215" ht="12.75" customHeight="1" outlineLevel="2" x14ac:dyDescent="0.2">
      <c r="A132" s="495">
        <v>1</v>
      </c>
      <c r="B132" s="127">
        <v>21</v>
      </c>
      <c r="C132" s="129" t="s">
        <v>302</v>
      </c>
      <c r="D132" s="129" t="s">
        <v>310</v>
      </c>
      <c r="E132" s="360" t="s">
        <v>311</v>
      </c>
      <c r="F132" s="130" t="s">
        <v>106</v>
      </c>
      <c r="G132" s="143" t="s">
        <v>107</v>
      </c>
      <c r="H132" s="134" t="s">
        <v>9</v>
      </c>
      <c r="I132" s="134" t="s">
        <v>504</v>
      </c>
      <c r="J132" s="134">
        <v>283</v>
      </c>
      <c r="K132" s="134"/>
      <c r="L132" s="134"/>
      <c r="M132" s="177"/>
      <c r="N132" s="302">
        <f t="shared" si="85"/>
        <v>283</v>
      </c>
      <c r="O132" s="144">
        <v>3462</v>
      </c>
      <c r="P132" s="144">
        <v>3462</v>
      </c>
      <c r="Q132" s="618">
        <v>3462</v>
      </c>
      <c r="R132" s="144">
        <v>3361</v>
      </c>
      <c r="S132" s="132">
        <f t="shared" si="87"/>
        <v>979746</v>
      </c>
      <c r="T132" s="132">
        <f t="shared" si="86"/>
        <v>979746</v>
      </c>
      <c r="U132" s="132">
        <f t="shared" si="86"/>
        <v>0</v>
      </c>
      <c r="V132" s="132">
        <f t="shared" si="86"/>
        <v>0</v>
      </c>
      <c r="W132" s="132">
        <f t="shared" si="86"/>
        <v>0</v>
      </c>
      <c r="X132" s="132">
        <f t="shared" si="88"/>
        <v>979746</v>
      </c>
      <c r="Y132" s="104"/>
      <c r="AC132" s="521"/>
    </row>
    <row r="133" spans="1:215" ht="12.75" customHeight="1" outlineLevel="2" x14ac:dyDescent="0.2">
      <c r="A133" s="495">
        <v>1</v>
      </c>
      <c r="B133" s="127">
        <v>21</v>
      </c>
      <c r="C133" s="129" t="s">
        <v>302</v>
      </c>
      <c r="D133" s="129" t="s">
        <v>312</v>
      </c>
      <c r="E133" s="360" t="s">
        <v>313</v>
      </c>
      <c r="F133" s="130" t="s">
        <v>106</v>
      </c>
      <c r="G133" s="143" t="s">
        <v>107</v>
      </c>
      <c r="H133" s="136" t="s">
        <v>21</v>
      </c>
      <c r="I133" s="134" t="s">
        <v>504</v>
      </c>
      <c r="J133" s="134">
        <v>30</v>
      </c>
      <c r="K133" s="134"/>
      <c r="L133" s="134"/>
      <c r="M133" s="177"/>
      <c r="N133" s="302">
        <f t="shared" si="85"/>
        <v>30</v>
      </c>
      <c r="O133" s="144">
        <v>866</v>
      </c>
      <c r="P133" s="144">
        <v>866</v>
      </c>
      <c r="Q133" s="618">
        <v>866</v>
      </c>
      <c r="R133" s="144">
        <v>841</v>
      </c>
      <c r="S133" s="132">
        <f t="shared" si="87"/>
        <v>25980</v>
      </c>
      <c r="T133" s="132">
        <f t="shared" si="86"/>
        <v>25980</v>
      </c>
      <c r="U133" s="132">
        <f t="shared" si="86"/>
        <v>0</v>
      </c>
      <c r="V133" s="132">
        <f t="shared" si="86"/>
        <v>0</v>
      </c>
      <c r="W133" s="132">
        <f t="shared" si="86"/>
        <v>0</v>
      </c>
      <c r="X133" s="132">
        <f t="shared" si="88"/>
        <v>25980</v>
      </c>
      <c r="Y133" s="104"/>
      <c r="AC133" s="521"/>
    </row>
    <row r="134" spans="1:215" ht="12.75" customHeight="1" outlineLevel="2" x14ac:dyDescent="0.2">
      <c r="A134" s="495">
        <v>1</v>
      </c>
      <c r="B134" s="127">
        <v>21</v>
      </c>
      <c r="C134" s="129" t="s">
        <v>302</v>
      </c>
      <c r="D134" s="129" t="s">
        <v>314</v>
      </c>
      <c r="E134" s="360" t="s">
        <v>315</v>
      </c>
      <c r="F134" s="130" t="s">
        <v>106</v>
      </c>
      <c r="G134" s="143" t="s">
        <v>107</v>
      </c>
      <c r="H134" s="136" t="s">
        <v>1004</v>
      </c>
      <c r="I134" s="134" t="s">
        <v>504</v>
      </c>
      <c r="J134" s="134"/>
      <c r="K134" s="134"/>
      <c r="L134" s="134"/>
      <c r="M134" s="177"/>
      <c r="N134" s="302">
        <f t="shared" si="85"/>
        <v>0</v>
      </c>
      <c r="O134" s="144">
        <v>866</v>
      </c>
      <c r="P134" s="144">
        <v>866</v>
      </c>
      <c r="Q134" s="618">
        <v>866</v>
      </c>
      <c r="R134" s="144">
        <v>841</v>
      </c>
      <c r="S134" s="132">
        <f t="shared" si="87"/>
        <v>0</v>
      </c>
      <c r="T134" s="132">
        <f t="shared" si="86"/>
        <v>0</v>
      </c>
      <c r="U134" s="132">
        <f t="shared" si="86"/>
        <v>0</v>
      </c>
      <c r="V134" s="132">
        <f t="shared" si="86"/>
        <v>0</v>
      </c>
      <c r="W134" s="132">
        <f t="shared" si="86"/>
        <v>0</v>
      </c>
      <c r="X134" s="132">
        <f t="shared" si="88"/>
        <v>0</v>
      </c>
      <c r="Y134" s="104"/>
      <c r="AC134" s="521"/>
    </row>
    <row r="135" spans="1:215" ht="12.75" customHeight="1" outlineLevel="2" x14ac:dyDescent="0.2">
      <c r="A135" s="495">
        <v>1</v>
      </c>
      <c r="B135" s="127">
        <v>22</v>
      </c>
      <c r="C135" s="129" t="s">
        <v>874</v>
      </c>
      <c r="D135" s="129" t="s">
        <v>882</v>
      </c>
      <c r="E135" s="360" t="s">
        <v>875</v>
      </c>
      <c r="F135" s="130" t="s">
        <v>109</v>
      </c>
      <c r="G135" s="143"/>
      <c r="H135" s="136" t="s">
        <v>8</v>
      </c>
      <c r="I135" s="134" t="s">
        <v>168</v>
      </c>
      <c r="J135" s="129"/>
      <c r="K135" s="134"/>
      <c r="L135" s="134"/>
      <c r="M135" s="177"/>
      <c r="N135" s="302">
        <f t="shared" si="85"/>
        <v>0</v>
      </c>
      <c r="O135" s="146">
        <v>3462</v>
      </c>
      <c r="P135" s="146">
        <v>3462</v>
      </c>
      <c r="Q135" s="622">
        <v>3462</v>
      </c>
      <c r="R135" s="146">
        <v>3361</v>
      </c>
      <c r="S135" s="132">
        <f t="shared" ref="S135:S140" si="89">SUMPRODUCT(J135:M135,O135:R135)</f>
        <v>0</v>
      </c>
      <c r="T135" s="132">
        <f t="shared" ref="T135:T140" si="90">IF(O135&gt;prisgrense,J135*prisgrense,J135*O135)</f>
        <v>0</v>
      </c>
      <c r="U135" s="132">
        <f t="shared" ref="U135:U140" si="91">IF(P135&gt;prisgrense,K135*prisgrense,K135*P135)</f>
        <v>0</v>
      </c>
      <c r="V135" s="132">
        <f t="shared" ref="V135:V140" si="92">IF(Q135&gt;prisgrense,L135*prisgrense,L135*Q135)</f>
        <v>0</v>
      </c>
      <c r="W135" s="132">
        <f t="shared" ref="W135:W140" si="93">IF(R135&gt;prisgrense,M135*prisgrense,M135*R135)</f>
        <v>0</v>
      </c>
      <c r="X135" s="132">
        <f t="shared" ref="X135:X140" si="94">SUM(T135:W135)</f>
        <v>0</v>
      </c>
      <c r="Y135" s="104" t="s">
        <v>873</v>
      </c>
      <c r="AC135" s="521"/>
    </row>
    <row r="136" spans="1:215" ht="12.75" customHeight="1" outlineLevel="2" x14ac:dyDescent="0.2">
      <c r="A136" s="495">
        <v>1</v>
      </c>
      <c r="B136" s="127">
        <v>22</v>
      </c>
      <c r="C136" s="129" t="s">
        <v>874</v>
      </c>
      <c r="D136" s="129" t="s">
        <v>883</v>
      </c>
      <c r="E136" s="360" t="s">
        <v>876</v>
      </c>
      <c r="F136" s="130" t="s">
        <v>109</v>
      </c>
      <c r="G136" s="143"/>
      <c r="H136" s="136" t="s">
        <v>8</v>
      </c>
      <c r="I136" s="134" t="s">
        <v>168</v>
      </c>
      <c r="J136" s="129"/>
      <c r="K136" s="134"/>
      <c r="L136" s="134"/>
      <c r="M136" s="177"/>
      <c r="N136" s="302">
        <f t="shared" si="85"/>
        <v>0</v>
      </c>
      <c r="O136" s="146">
        <v>3030</v>
      </c>
      <c r="P136" s="146">
        <v>3030</v>
      </c>
      <c r="Q136" s="622">
        <v>3030</v>
      </c>
      <c r="R136" s="146">
        <v>2942</v>
      </c>
      <c r="S136" s="132">
        <f t="shared" si="89"/>
        <v>0</v>
      </c>
      <c r="T136" s="132">
        <f t="shared" si="90"/>
        <v>0</v>
      </c>
      <c r="U136" s="132">
        <f t="shared" si="91"/>
        <v>0</v>
      </c>
      <c r="V136" s="132">
        <f t="shared" si="92"/>
        <v>0</v>
      </c>
      <c r="W136" s="132">
        <f t="shared" si="93"/>
        <v>0</v>
      </c>
      <c r="X136" s="132">
        <f t="shared" si="94"/>
        <v>0</v>
      </c>
      <c r="Y136" s="104" t="s">
        <v>873</v>
      </c>
      <c r="AC136" s="521"/>
    </row>
    <row r="137" spans="1:215" ht="12.75" customHeight="1" outlineLevel="2" x14ac:dyDescent="0.2">
      <c r="A137" s="495">
        <v>1</v>
      </c>
      <c r="B137" s="127">
        <v>22</v>
      </c>
      <c r="C137" s="129" t="s">
        <v>874</v>
      </c>
      <c r="D137" s="129" t="s">
        <v>884</v>
      </c>
      <c r="E137" s="360" t="s">
        <v>877</v>
      </c>
      <c r="F137" s="130" t="s">
        <v>109</v>
      </c>
      <c r="G137" s="143"/>
      <c r="H137" s="136" t="s">
        <v>8</v>
      </c>
      <c r="I137" s="134" t="s">
        <v>68</v>
      </c>
      <c r="J137" s="129"/>
      <c r="K137" s="134"/>
      <c r="L137" s="134"/>
      <c r="M137" s="177"/>
      <c r="N137" s="302">
        <f t="shared" si="85"/>
        <v>0</v>
      </c>
      <c r="O137" s="146">
        <v>2380</v>
      </c>
      <c r="P137" s="146">
        <v>2380</v>
      </c>
      <c r="Q137" s="622">
        <v>2380</v>
      </c>
      <c r="R137" s="146">
        <v>2311</v>
      </c>
      <c r="S137" s="132">
        <f t="shared" si="89"/>
        <v>0</v>
      </c>
      <c r="T137" s="132">
        <f t="shared" si="90"/>
        <v>0</v>
      </c>
      <c r="U137" s="132">
        <f t="shared" si="91"/>
        <v>0</v>
      </c>
      <c r="V137" s="132">
        <f t="shared" si="92"/>
        <v>0</v>
      </c>
      <c r="W137" s="132">
        <f t="shared" si="93"/>
        <v>0</v>
      </c>
      <c r="X137" s="132">
        <f t="shared" si="94"/>
        <v>0</v>
      </c>
      <c r="Y137" s="104" t="s">
        <v>873</v>
      </c>
      <c r="AC137" s="521"/>
    </row>
    <row r="138" spans="1:215" ht="12.75" customHeight="1" outlineLevel="2" x14ac:dyDescent="0.2">
      <c r="A138" s="495">
        <v>1</v>
      </c>
      <c r="B138" s="127">
        <v>22</v>
      </c>
      <c r="C138" s="129" t="s">
        <v>874</v>
      </c>
      <c r="D138" s="129" t="s">
        <v>885</v>
      </c>
      <c r="E138" s="360" t="s">
        <v>878</v>
      </c>
      <c r="F138" s="130" t="s">
        <v>109</v>
      </c>
      <c r="G138" s="143"/>
      <c r="H138" s="136" t="s">
        <v>9</v>
      </c>
      <c r="I138" s="134" t="s">
        <v>504</v>
      </c>
      <c r="J138" s="129"/>
      <c r="K138" s="134"/>
      <c r="L138" s="134"/>
      <c r="M138" s="177"/>
      <c r="N138" s="302">
        <f t="shared" si="85"/>
        <v>0</v>
      </c>
      <c r="O138" s="146">
        <v>1082</v>
      </c>
      <c r="P138" s="146">
        <v>1082</v>
      </c>
      <c r="Q138" s="622">
        <v>1082</v>
      </c>
      <c r="R138" s="146">
        <v>1050</v>
      </c>
      <c r="S138" s="132">
        <f t="shared" si="89"/>
        <v>0</v>
      </c>
      <c r="T138" s="132">
        <f t="shared" si="90"/>
        <v>0</v>
      </c>
      <c r="U138" s="132">
        <f t="shared" si="91"/>
        <v>0</v>
      </c>
      <c r="V138" s="132">
        <f t="shared" si="92"/>
        <v>0</v>
      </c>
      <c r="W138" s="132">
        <f t="shared" si="93"/>
        <v>0</v>
      </c>
      <c r="X138" s="132">
        <f t="shared" si="94"/>
        <v>0</v>
      </c>
      <c r="Y138" s="104" t="s">
        <v>873</v>
      </c>
      <c r="AC138" s="521"/>
    </row>
    <row r="139" spans="1:215" ht="12.75" customHeight="1" outlineLevel="2" x14ac:dyDescent="0.2">
      <c r="A139" s="495">
        <v>1</v>
      </c>
      <c r="B139" s="127">
        <v>22</v>
      </c>
      <c r="C139" s="129" t="s">
        <v>874</v>
      </c>
      <c r="D139" s="129" t="s">
        <v>886</v>
      </c>
      <c r="E139" s="360" t="s">
        <v>879</v>
      </c>
      <c r="F139" s="130" t="s">
        <v>109</v>
      </c>
      <c r="G139" s="143"/>
      <c r="H139" s="136" t="s">
        <v>9</v>
      </c>
      <c r="I139" s="134" t="s">
        <v>504</v>
      </c>
      <c r="J139" s="129">
        <v>70</v>
      </c>
      <c r="K139" s="134"/>
      <c r="L139" s="134"/>
      <c r="M139" s="177"/>
      <c r="N139" s="302">
        <f t="shared" si="85"/>
        <v>70</v>
      </c>
      <c r="O139" s="146">
        <v>4328</v>
      </c>
      <c r="P139" s="146">
        <v>4328</v>
      </c>
      <c r="Q139" s="622">
        <v>4328</v>
      </c>
      <c r="R139" s="146">
        <v>4202</v>
      </c>
      <c r="S139" s="132">
        <f t="shared" si="89"/>
        <v>302960</v>
      </c>
      <c r="T139" s="132">
        <f t="shared" si="90"/>
        <v>302960</v>
      </c>
      <c r="U139" s="132">
        <f t="shared" si="91"/>
        <v>0</v>
      </c>
      <c r="V139" s="132">
        <f t="shared" si="92"/>
        <v>0</v>
      </c>
      <c r="W139" s="132">
        <f t="shared" si="93"/>
        <v>0</v>
      </c>
      <c r="X139" s="132">
        <f t="shared" si="94"/>
        <v>302960</v>
      </c>
      <c r="Y139" s="104" t="s">
        <v>873</v>
      </c>
      <c r="AC139" s="521"/>
    </row>
    <row r="140" spans="1:215" ht="12.75" customHeight="1" outlineLevel="2" x14ac:dyDescent="0.2">
      <c r="A140" s="495">
        <v>1</v>
      </c>
      <c r="B140" s="127">
        <v>22</v>
      </c>
      <c r="C140" s="129" t="s">
        <v>874</v>
      </c>
      <c r="D140" s="129" t="s">
        <v>887</v>
      </c>
      <c r="E140" s="360" t="s">
        <v>880</v>
      </c>
      <c r="F140" s="130" t="s">
        <v>109</v>
      </c>
      <c r="G140" s="143"/>
      <c r="H140" s="136" t="s">
        <v>21</v>
      </c>
      <c r="I140" s="134" t="s">
        <v>504</v>
      </c>
      <c r="J140" s="129">
        <v>37</v>
      </c>
      <c r="K140" s="134"/>
      <c r="L140" s="134"/>
      <c r="M140" s="177"/>
      <c r="N140" s="302">
        <f t="shared" si="85"/>
        <v>37</v>
      </c>
      <c r="O140" s="146">
        <v>3462</v>
      </c>
      <c r="P140" s="146">
        <v>3462</v>
      </c>
      <c r="Q140" s="622">
        <v>3462</v>
      </c>
      <c r="R140" s="146">
        <v>3361</v>
      </c>
      <c r="S140" s="132">
        <f t="shared" si="89"/>
        <v>128094</v>
      </c>
      <c r="T140" s="132">
        <f t="shared" si="90"/>
        <v>128094</v>
      </c>
      <c r="U140" s="132">
        <f t="shared" si="91"/>
        <v>0</v>
      </c>
      <c r="V140" s="132">
        <f t="shared" si="92"/>
        <v>0</v>
      </c>
      <c r="W140" s="132">
        <f t="shared" si="93"/>
        <v>0</v>
      </c>
      <c r="X140" s="132">
        <f t="shared" si="94"/>
        <v>128094</v>
      </c>
      <c r="Y140" s="104" t="s">
        <v>873</v>
      </c>
      <c r="AC140" s="521"/>
    </row>
    <row r="141" spans="1:215" ht="12.75" customHeight="1" outlineLevel="1" x14ac:dyDescent="0.2">
      <c r="A141" s="498" t="s">
        <v>566</v>
      </c>
      <c r="B141" s="166"/>
      <c r="C141" s="154"/>
      <c r="D141" s="154" t="s">
        <v>91</v>
      </c>
      <c r="E141" s="320"/>
      <c r="F141" s="182"/>
      <c r="G141" s="183"/>
      <c r="H141" s="171"/>
      <c r="I141" s="172"/>
      <c r="J141" s="172">
        <f>SUBTOTAL(9,J11:J140)</f>
        <v>14634</v>
      </c>
      <c r="K141" s="172">
        <f>SUBTOTAL(9,K11:K140)</f>
        <v>0</v>
      </c>
      <c r="L141" s="172">
        <f>SUBTOTAL(9,L11:L140)</f>
        <v>0</v>
      </c>
      <c r="M141" s="172">
        <f>SUBTOTAL(9,M11:M140)</f>
        <v>0</v>
      </c>
      <c r="N141" s="348">
        <f>SUBTOTAL(9,N11:N140)</f>
        <v>14634</v>
      </c>
      <c r="O141" s="155"/>
      <c r="P141" s="155"/>
      <c r="Q141" s="155"/>
      <c r="R141" s="155"/>
      <c r="S141" s="400">
        <f t="shared" ref="S141:X141" si="95">SUBTOTAL(9,S11:S140)</f>
        <v>68130210</v>
      </c>
      <c r="T141" s="400">
        <f t="shared" si="95"/>
        <v>67981885</v>
      </c>
      <c r="U141" s="400">
        <f t="shared" si="95"/>
        <v>0</v>
      </c>
      <c r="V141" s="400">
        <f t="shared" si="95"/>
        <v>0</v>
      </c>
      <c r="W141" s="400">
        <f t="shared" si="95"/>
        <v>0</v>
      </c>
      <c r="X141" s="400">
        <f t="shared" si="95"/>
        <v>67981885</v>
      </c>
      <c r="Y141" s="104"/>
      <c r="AC141" s="521"/>
    </row>
    <row r="142" spans="1:215" ht="12.75" customHeight="1" outlineLevel="1" x14ac:dyDescent="0.2">
      <c r="A142" s="493"/>
      <c r="B142" s="166"/>
      <c r="C142" s="154"/>
      <c r="D142" s="169"/>
      <c r="E142" s="320"/>
      <c r="F142" s="170"/>
      <c r="G142" s="170"/>
      <c r="H142" s="171"/>
      <c r="I142" s="172"/>
      <c r="J142" s="172"/>
      <c r="K142" s="172"/>
      <c r="L142" s="172"/>
      <c r="M142" s="172"/>
      <c r="N142" s="348"/>
      <c r="O142" s="155"/>
      <c r="P142" s="155"/>
      <c r="Q142" s="155"/>
      <c r="R142" s="155"/>
      <c r="Y142" s="104"/>
      <c r="AC142" s="521"/>
    </row>
    <row r="143" spans="1:215" s="126" customFormat="1" ht="12.75" customHeight="1" outlineLevel="2" x14ac:dyDescent="0.2">
      <c r="A143" s="493">
        <v>2</v>
      </c>
      <c r="B143" s="124"/>
      <c r="C143" s="125" t="s">
        <v>328</v>
      </c>
      <c r="D143" s="168" t="s">
        <v>329</v>
      </c>
      <c r="E143" s="355"/>
      <c r="F143" s="174"/>
      <c r="G143" s="174"/>
      <c r="H143" s="174"/>
      <c r="I143" s="176"/>
      <c r="J143" s="176"/>
      <c r="K143" s="176"/>
      <c r="L143" s="176"/>
      <c r="M143" s="176"/>
      <c r="N143" s="347"/>
      <c r="O143" s="175"/>
      <c r="P143" s="175"/>
      <c r="Q143" s="175"/>
      <c r="R143" s="175"/>
      <c r="Z143" s="474"/>
      <c r="AC143" s="521"/>
    </row>
    <row r="144" spans="1:215" ht="12.75" customHeight="1" outlineLevel="2" x14ac:dyDescent="0.2">
      <c r="A144" s="495">
        <v>2</v>
      </c>
      <c r="B144" s="138">
        <v>1</v>
      </c>
      <c r="C144" s="129"/>
      <c r="D144" s="129" t="s">
        <v>217</v>
      </c>
      <c r="E144" s="184" t="s">
        <v>218</v>
      </c>
      <c r="F144" s="130" t="s">
        <v>607</v>
      </c>
      <c r="G144" s="135" t="s">
        <v>103</v>
      </c>
      <c r="H144" s="136" t="s">
        <v>8</v>
      </c>
      <c r="I144" s="134" t="s">
        <v>128</v>
      </c>
      <c r="J144" s="134"/>
      <c r="K144" s="129"/>
      <c r="L144" s="129"/>
      <c r="M144" s="177"/>
      <c r="N144" s="302">
        <f t="shared" si="85"/>
        <v>0</v>
      </c>
      <c r="O144" s="151">
        <v>757</v>
      </c>
      <c r="P144" s="151">
        <v>757</v>
      </c>
      <c r="Q144" s="620">
        <v>757</v>
      </c>
      <c r="R144" s="151">
        <v>735</v>
      </c>
      <c r="S144" s="132">
        <f t="shared" ref="S144:S163" si="96">SUMPRODUCT(J144:M144,O144:R144)</f>
        <v>0</v>
      </c>
      <c r="T144" s="132">
        <f t="shared" ref="T144:W163" si="97">IF(O144&gt;prisgrense,J144*prisgrense,J144*O144)</f>
        <v>0</v>
      </c>
      <c r="U144" s="132">
        <f t="shared" si="97"/>
        <v>0</v>
      </c>
      <c r="V144" s="132">
        <f t="shared" si="97"/>
        <v>0</v>
      </c>
      <c r="W144" s="132">
        <f t="shared" si="97"/>
        <v>0</v>
      </c>
      <c r="X144" s="132">
        <f t="shared" ref="X144:X163" si="98">SUM(T144:W144)</f>
        <v>0</v>
      </c>
      <c r="AC144" s="521"/>
    </row>
    <row r="145" spans="1:29" ht="12.75" customHeight="1" outlineLevel="2" x14ac:dyDescent="0.2">
      <c r="A145" s="495"/>
      <c r="B145" s="138">
        <v>2</v>
      </c>
      <c r="C145" s="129"/>
      <c r="D145" s="129" t="s">
        <v>945</v>
      </c>
      <c r="E145" s="184"/>
      <c r="F145" s="130" t="s">
        <v>607</v>
      </c>
      <c r="G145" s="143" t="s">
        <v>103</v>
      </c>
      <c r="H145" s="133" t="s">
        <v>8</v>
      </c>
      <c r="I145" s="134" t="s">
        <v>128</v>
      </c>
      <c r="J145" s="134">
        <v>113</v>
      </c>
      <c r="K145" s="129"/>
      <c r="L145" s="129"/>
      <c r="M145" s="177"/>
      <c r="N145" s="302">
        <f t="shared" ref="N145" si="99">SUM(J145:M145)</f>
        <v>113</v>
      </c>
      <c r="O145" s="151">
        <v>757</v>
      </c>
      <c r="P145" s="151">
        <v>757</v>
      </c>
      <c r="Q145" s="620">
        <v>757</v>
      </c>
      <c r="R145" s="151">
        <v>735</v>
      </c>
      <c r="S145" s="132">
        <f t="shared" ref="S145" si="100">SUMPRODUCT(J145:M145,O145:R145)</f>
        <v>85541</v>
      </c>
      <c r="T145" s="132">
        <f t="shared" ref="T145" si="101">IF(O145&gt;prisgrense,J145*prisgrense,J145*O145)</f>
        <v>85541</v>
      </c>
      <c r="U145" s="132">
        <f t="shared" ref="U145" si="102">IF(P145&gt;prisgrense,K145*prisgrense,K145*P145)</f>
        <v>0</v>
      </c>
      <c r="V145" s="132">
        <f t="shared" ref="V145" si="103">IF(Q145&gt;prisgrense,L145*prisgrense,L145*Q145)</f>
        <v>0</v>
      </c>
      <c r="W145" s="132">
        <f t="shared" ref="W145" si="104">IF(R145&gt;prisgrense,M145*prisgrense,M145*R145)</f>
        <v>0</v>
      </c>
      <c r="X145" s="132">
        <f t="shared" ref="X145" si="105">SUM(T145:W145)</f>
        <v>85541</v>
      </c>
      <c r="Y145" s="139" t="s">
        <v>911</v>
      </c>
      <c r="AC145" s="521"/>
    </row>
    <row r="146" spans="1:29" ht="12.75" customHeight="1" outlineLevel="2" x14ac:dyDescent="0.2">
      <c r="A146" s="495">
        <v>2</v>
      </c>
      <c r="B146" s="138">
        <v>3</v>
      </c>
      <c r="C146" s="129" t="s">
        <v>633</v>
      </c>
      <c r="D146" s="129" t="s">
        <v>634</v>
      </c>
      <c r="E146" s="184">
        <v>11020</v>
      </c>
      <c r="F146" s="135" t="s">
        <v>108</v>
      </c>
      <c r="G146" s="137" t="s">
        <v>174</v>
      </c>
      <c r="H146" s="136" t="s">
        <v>8</v>
      </c>
      <c r="I146" s="134" t="s">
        <v>128</v>
      </c>
      <c r="J146" s="134"/>
      <c r="K146" s="134"/>
      <c r="L146" s="134"/>
      <c r="M146" s="177"/>
      <c r="N146" s="302">
        <f t="shared" ref="N146" si="106">SUM(J146:M146)</f>
        <v>0</v>
      </c>
      <c r="O146" s="132">
        <v>542</v>
      </c>
      <c r="P146" s="132">
        <v>542</v>
      </c>
      <c r="Q146" s="621">
        <v>542</v>
      </c>
      <c r="R146" s="132">
        <v>526</v>
      </c>
      <c r="S146" s="132">
        <f t="shared" ref="S146" si="107">SUMPRODUCT(J146:M146,O146:R146)</f>
        <v>0</v>
      </c>
      <c r="T146" s="132">
        <f t="shared" ref="T146" si="108">IF(O146&gt;prisgrense,J146*prisgrense,J146*O146)</f>
        <v>0</v>
      </c>
      <c r="U146" s="132">
        <f t="shared" ref="U146" si="109">IF(P146&gt;prisgrense,K146*prisgrense,K146*P146)</f>
        <v>0</v>
      </c>
      <c r="V146" s="132">
        <f t="shared" ref="V146" si="110">IF(Q146&gt;prisgrense,L146*prisgrense,L146*Q146)</f>
        <v>0</v>
      </c>
      <c r="W146" s="132">
        <f t="shared" ref="W146" si="111">IF(R146&gt;prisgrense,M146*prisgrense,M146*R146)</f>
        <v>0</v>
      </c>
      <c r="X146" s="132">
        <f t="shared" ref="X146" si="112">SUM(T146:W146)</f>
        <v>0</v>
      </c>
      <c r="Y146" s="104" t="s">
        <v>632</v>
      </c>
      <c r="AC146" s="521"/>
    </row>
    <row r="147" spans="1:29" ht="12.75" customHeight="1" outlineLevel="2" x14ac:dyDescent="0.2">
      <c r="A147" s="495">
        <v>2</v>
      </c>
      <c r="B147" s="138">
        <v>4</v>
      </c>
      <c r="C147" s="129"/>
      <c r="D147" s="129" t="s">
        <v>932</v>
      </c>
      <c r="E147" s="184"/>
      <c r="F147" s="130" t="s">
        <v>607</v>
      </c>
      <c r="G147" s="137" t="s">
        <v>103</v>
      </c>
      <c r="H147" s="136" t="s">
        <v>8</v>
      </c>
      <c r="I147" s="134" t="s">
        <v>128</v>
      </c>
      <c r="J147" s="134">
        <v>85</v>
      </c>
      <c r="K147" s="129"/>
      <c r="L147" s="129"/>
      <c r="M147" s="141"/>
      <c r="N147" s="302">
        <f t="shared" ref="N147" si="113">SUM(J147:M147)</f>
        <v>85</v>
      </c>
      <c r="O147" s="132">
        <v>3030</v>
      </c>
      <c r="P147" s="132">
        <v>3030</v>
      </c>
      <c r="Q147" s="621">
        <v>3030</v>
      </c>
      <c r="R147" s="132">
        <v>2942</v>
      </c>
      <c r="S147" s="132">
        <f t="shared" ref="S147" si="114">SUMPRODUCT(J147:M147,O147:R147)</f>
        <v>257550</v>
      </c>
      <c r="T147" s="132">
        <f t="shared" ref="T147" si="115">IF(O147&gt;prisgrense,J147*prisgrense,J147*O147)</f>
        <v>257550</v>
      </c>
      <c r="U147" s="132">
        <f t="shared" ref="U147" si="116">IF(P147&gt;prisgrense,K147*prisgrense,K147*P147)</f>
        <v>0</v>
      </c>
      <c r="V147" s="132">
        <f t="shared" ref="V147" si="117">IF(Q147&gt;prisgrense,L147*prisgrense,L147*Q147)</f>
        <v>0</v>
      </c>
      <c r="W147" s="132">
        <f t="shared" ref="W147" si="118">IF(R147&gt;prisgrense,M147*prisgrense,M147*R147)</f>
        <v>0</v>
      </c>
      <c r="X147" s="132">
        <f t="shared" ref="X147" si="119">SUM(T147:W147)</f>
        <v>257550</v>
      </c>
      <c r="Y147" s="139" t="s">
        <v>929</v>
      </c>
      <c r="AC147" s="521"/>
    </row>
    <row r="148" spans="1:29" ht="12.75" customHeight="1" outlineLevel="2" x14ac:dyDescent="0.2">
      <c r="A148" s="495">
        <v>2</v>
      </c>
      <c r="B148" s="138">
        <v>5</v>
      </c>
      <c r="C148" s="129"/>
      <c r="D148" s="129" t="s">
        <v>741</v>
      </c>
      <c r="E148" s="356" t="s">
        <v>753</v>
      </c>
      <c r="F148" s="130" t="s">
        <v>607</v>
      </c>
      <c r="G148" s="131" t="s">
        <v>103</v>
      </c>
      <c r="H148" s="136" t="s">
        <v>8</v>
      </c>
      <c r="I148" s="134" t="s">
        <v>128</v>
      </c>
      <c r="J148" s="134">
        <v>206</v>
      </c>
      <c r="K148" s="129"/>
      <c r="L148" s="129"/>
      <c r="M148" s="141"/>
      <c r="N148" s="302">
        <f t="shared" si="85"/>
        <v>206</v>
      </c>
      <c r="O148" s="163">
        <v>3030</v>
      </c>
      <c r="P148" s="163">
        <v>3030</v>
      </c>
      <c r="Q148" s="623">
        <v>3030</v>
      </c>
      <c r="R148" s="163">
        <v>2942</v>
      </c>
      <c r="S148" s="132">
        <f t="shared" ref="S148" si="120">SUMPRODUCT(J148:M148,O148:R148)</f>
        <v>624180</v>
      </c>
      <c r="T148" s="132">
        <f t="shared" ref="T148" si="121">IF(O148&gt;prisgrense,J148*prisgrense,J148*O148)</f>
        <v>624180</v>
      </c>
      <c r="U148" s="132">
        <f t="shared" ref="U148" si="122">IF(P148&gt;prisgrense,K148*prisgrense,K148*P148)</f>
        <v>0</v>
      </c>
      <c r="V148" s="132">
        <f t="shared" ref="V148" si="123">IF(Q148&gt;prisgrense,L148*prisgrense,L148*Q148)</f>
        <v>0</v>
      </c>
      <c r="W148" s="132">
        <f t="shared" ref="W148" si="124">IF(R148&gt;prisgrense,M148*prisgrense,M148*R148)</f>
        <v>0</v>
      </c>
      <c r="X148" s="132">
        <f t="shared" ref="X148" si="125">SUM(T148:W148)</f>
        <v>624180</v>
      </c>
      <c r="Y148" s="139" t="s">
        <v>752</v>
      </c>
      <c r="AC148" s="521"/>
    </row>
    <row r="149" spans="1:29" ht="12.75" customHeight="1" outlineLevel="2" x14ac:dyDescent="0.2">
      <c r="A149" s="495">
        <v>2</v>
      </c>
      <c r="B149" s="138">
        <v>6</v>
      </c>
      <c r="C149" s="129"/>
      <c r="D149" s="129" t="s">
        <v>572</v>
      </c>
      <c r="E149" s="356">
        <v>1010210</v>
      </c>
      <c r="F149" s="130" t="s">
        <v>746</v>
      </c>
      <c r="G149" s="131" t="s">
        <v>105</v>
      </c>
      <c r="H149" s="133" t="s">
        <v>8</v>
      </c>
      <c r="I149" s="134" t="s">
        <v>128</v>
      </c>
      <c r="J149" s="134"/>
      <c r="K149" s="134"/>
      <c r="L149" s="134"/>
      <c r="M149" s="177"/>
      <c r="N149" s="302">
        <f t="shared" si="85"/>
        <v>0</v>
      </c>
      <c r="O149" s="163">
        <v>4182</v>
      </c>
      <c r="P149" s="163">
        <v>4182</v>
      </c>
      <c r="Q149" s="623">
        <v>4182</v>
      </c>
      <c r="R149" s="163">
        <v>3914</v>
      </c>
      <c r="S149" s="132">
        <f t="shared" ref="S149" si="126">SUMPRODUCT(J149:M149,O149:R149)</f>
        <v>0</v>
      </c>
      <c r="T149" s="132">
        <f t="shared" ref="T149" si="127">IF(O149&gt;prisgrense,J149*prisgrense,J149*O149)</f>
        <v>0</v>
      </c>
      <c r="U149" s="132">
        <f t="shared" ref="U149" si="128">IF(P149&gt;prisgrense,K149*prisgrense,K149*P149)</f>
        <v>0</v>
      </c>
      <c r="V149" s="132">
        <f t="shared" ref="V149" si="129">IF(Q149&gt;prisgrense,L149*prisgrense,L149*Q149)</f>
        <v>0</v>
      </c>
      <c r="W149" s="132">
        <f t="shared" ref="W149" si="130">IF(R149&gt;prisgrense,M149*prisgrense,M149*R149)</f>
        <v>0</v>
      </c>
      <c r="X149" s="132">
        <f t="shared" ref="X149" si="131">SUM(T149:W149)</f>
        <v>0</v>
      </c>
      <c r="Y149" s="104" t="s">
        <v>532</v>
      </c>
      <c r="AC149" s="521"/>
    </row>
    <row r="150" spans="1:29" s="152" customFormat="1" ht="12.75" customHeight="1" outlineLevel="2" x14ac:dyDescent="0.2">
      <c r="A150" s="495">
        <v>2</v>
      </c>
      <c r="B150" s="138">
        <v>7</v>
      </c>
      <c r="C150" s="129" t="s">
        <v>825</v>
      </c>
      <c r="D150" s="129" t="s">
        <v>826</v>
      </c>
      <c r="E150" s="184"/>
      <c r="F150" s="135" t="s">
        <v>108</v>
      </c>
      <c r="G150" s="135" t="s">
        <v>174</v>
      </c>
      <c r="H150" s="135" t="s">
        <v>8</v>
      </c>
      <c r="I150" s="129" t="s">
        <v>128</v>
      </c>
      <c r="J150" s="129"/>
      <c r="K150" s="129"/>
      <c r="L150" s="129"/>
      <c r="M150" s="141"/>
      <c r="N150" s="302">
        <f t="shared" ref="N150:N151" si="132">SUM(J150:M150)</f>
        <v>0</v>
      </c>
      <c r="O150" s="392">
        <v>3677</v>
      </c>
      <c r="P150" s="392">
        <v>3677</v>
      </c>
      <c r="Q150" s="392">
        <v>3677</v>
      </c>
      <c r="R150" s="392">
        <v>3677</v>
      </c>
      <c r="S150" s="132">
        <f t="shared" ref="S150" si="133">SUMPRODUCT(J150:M150,O150:R150)</f>
        <v>0</v>
      </c>
      <c r="T150" s="132">
        <f t="shared" ref="T150" si="134">IF(O150&gt;prisgrense,J150*prisgrense,J150*O150)</f>
        <v>0</v>
      </c>
      <c r="U150" s="132">
        <f t="shared" ref="U150" si="135">IF(P150&gt;prisgrense,K150*prisgrense,K150*P150)</f>
        <v>0</v>
      </c>
      <c r="V150" s="132">
        <f t="shared" ref="V150" si="136">IF(Q150&gt;prisgrense,L150*prisgrense,L150*Q150)</f>
        <v>0</v>
      </c>
      <c r="W150" s="132">
        <f t="shared" ref="W150" si="137">IF(R150&gt;prisgrense,M150*prisgrense,M150*R150)</f>
        <v>0</v>
      </c>
      <c r="X150" s="132">
        <f t="shared" ref="X150" si="138">SUM(T150:W150)</f>
        <v>0</v>
      </c>
      <c r="Y150" s="152" t="s">
        <v>1008</v>
      </c>
      <c r="Z150" s="395">
        <v>2</v>
      </c>
      <c r="AC150" s="559"/>
    </row>
    <row r="151" spans="1:29" s="152" customFormat="1" ht="12.75" customHeight="1" outlineLevel="2" x14ac:dyDescent="0.2">
      <c r="A151" s="495">
        <v>2</v>
      </c>
      <c r="B151" s="138">
        <v>7</v>
      </c>
      <c r="C151" s="129" t="s">
        <v>1006</v>
      </c>
      <c r="D151" s="129" t="s">
        <v>1009</v>
      </c>
      <c r="E151" s="184"/>
      <c r="F151" s="135" t="s">
        <v>108</v>
      </c>
      <c r="G151" s="135"/>
      <c r="H151" s="135" t="s">
        <v>8</v>
      </c>
      <c r="I151" s="129" t="s">
        <v>128</v>
      </c>
      <c r="J151" s="129">
        <v>4</v>
      </c>
      <c r="K151" s="129"/>
      <c r="L151" s="129"/>
      <c r="M151" s="141"/>
      <c r="N151" s="302">
        <f t="shared" si="132"/>
        <v>4</v>
      </c>
      <c r="O151" s="392">
        <v>3787</v>
      </c>
      <c r="P151" s="392">
        <v>3787</v>
      </c>
      <c r="Q151" s="616">
        <v>3787</v>
      </c>
      <c r="R151" s="392">
        <v>3677</v>
      </c>
      <c r="S151" s="132">
        <f t="shared" ref="S151" si="139">SUMPRODUCT(J151:M151,O151:R151)</f>
        <v>15148</v>
      </c>
      <c r="T151" s="132">
        <f t="shared" ref="T151" si="140">IF(O151&gt;prisgrense,J151*prisgrense,J151*O151)</f>
        <v>15148</v>
      </c>
      <c r="U151" s="132">
        <f t="shared" ref="U151" si="141">IF(P151&gt;prisgrense,K151*prisgrense,K151*P151)</f>
        <v>0</v>
      </c>
      <c r="V151" s="132">
        <f t="shared" ref="V151" si="142">IF(Q151&gt;prisgrense,L151*prisgrense,L151*Q151)</f>
        <v>0</v>
      </c>
      <c r="W151" s="132">
        <f t="shared" ref="W151" si="143">IF(R151&gt;prisgrense,M151*prisgrense,M151*R151)</f>
        <v>0</v>
      </c>
      <c r="X151" s="132">
        <f t="shared" ref="X151" si="144">SUM(T151:W151)</f>
        <v>15148</v>
      </c>
      <c r="Y151" s="152" t="s">
        <v>1010</v>
      </c>
      <c r="Z151" s="395"/>
      <c r="AC151" s="559"/>
    </row>
    <row r="152" spans="1:29" s="152" customFormat="1" ht="12.75" customHeight="1" outlineLevel="2" x14ac:dyDescent="0.2">
      <c r="A152" s="495">
        <v>2</v>
      </c>
      <c r="B152" s="138">
        <v>8</v>
      </c>
      <c r="C152" s="129" t="s">
        <v>825</v>
      </c>
      <c r="D152" s="129" t="s">
        <v>827</v>
      </c>
      <c r="E152" s="184"/>
      <c r="F152" s="135" t="s">
        <v>108</v>
      </c>
      <c r="G152" s="135" t="s">
        <v>174</v>
      </c>
      <c r="H152" s="135" t="s">
        <v>8</v>
      </c>
      <c r="I152" s="129" t="s">
        <v>128</v>
      </c>
      <c r="J152" s="129">
        <v>2</v>
      </c>
      <c r="K152" s="129"/>
      <c r="L152" s="129"/>
      <c r="M152" s="141"/>
      <c r="N152" s="302">
        <f t="shared" ref="N152:N153" si="145">SUM(J152:M152)</f>
        <v>2</v>
      </c>
      <c r="O152" s="392">
        <v>4202</v>
      </c>
      <c r="P152" s="392">
        <v>4202</v>
      </c>
      <c r="Q152" s="392">
        <v>4202</v>
      </c>
      <c r="R152" s="392">
        <v>4202</v>
      </c>
      <c r="S152" s="132">
        <f t="shared" ref="S152" si="146">SUMPRODUCT(J152:M152,O152:R152)</f>
        <v>8404</v>
      </c>
      <c r="T152" s="132">
        <f t="shared" ref="T152" si="147">IF(O152&gt;prisgrense,J152*prisgrense,J152*O152)</f>
        <v>8404</v>
      </c>
      <c r="U152" s="132">
        <f t="shared" ref="U152" si="148">IF(P152&gt;prisgrense,K152*prisgrense,K152*P152)</f>
        <v>0</v>
      </c>
      <c r="V152" s="132">
        <f t="shared" ref="V152" si="149">IF(Q152&gt;prisgrense,L152*prisgrense,L152*Q152)</f>
        <v>0</v>
      </c>
      <c r="W152" s="132">
        <f t="shared" ref="W152" si="150">IF(R152&gt;prisgrense,M152*prisgrense,M152*R152)</f>
        <v>0</v>
      </c>
      <c r="X152" s="132">
        <f t="shared" ref="X152" si="151">SUM(T152:W152)</f>
        <v>8404</v>
      </c>
      <c r="Y152" s="152" t="s">
        <v>1008</v>
      </c>
      <c r="Z152" s="395">
        <v>2</v>
      </c>
      <c r="AC152" s="559"/>
    </row>
    <row r="153" spans="1:29" s="152" customFormat="1" ht="12.75" customHeight="1" outlineLevel="2" x14ac:dyDescent="0.2">
      <c r="A153" s="495">
        <v>2</v>
      </c>
      <c r="B153" s="138">
        <v>8</v>
      </c>
      <c r="C153" s="129" t="s">
        <v>1006</v>
      </c>
      <c r="D153" s="129" t="s">
        <v>1007</v>
      </c>
      <c r="E153" s="184"/>
      <c r="F153" s="135" t="s">
        <v>108</v>
      </c>
      <c r="G153" s="135"/>
      <c r="H153" s="135" t="s">
        <v>8</v>
      </c>
      <c r="I153" s="129" t="s">
        <v>128</v>
      </c>
      <c r="J153" s="129">
        <v>8</v>
      </c>
      <c r="K153" s="129"/>
      <c r="L153" s="129"/>
      <c r="M153" s="141"/>
      <c r="N153" s="302">
        <f t="shared" si="145"/>
        <v>8</v>
      </c>
      <c r="O153" s="392">
        <v>4328</v>
      </c>
      <c r="P153" s="392">
        <v>4328</v>
      </c>
      <c r="Q153" s="616">
        <v>4328</v>
      </c>
      <c r="R153" s="392">
        <v>4202</v>
      </c>
      <c r="S153" s="132">
        <f t="shared" ref="S153" si="152">SUMPRODUCT(J153:M153,O153:R153)</f>
        <v>34624</v>
      </c>
      <c r="T153" s="132">
        <f t="shared" ref="T153" si="153">IF(O153&gt;prisgrense,J153*prisgrense,J153*O153)</f>
        <v>34624</v>
      </c>
      <c r="U153" s="132">
        <f t="shared" ref="U153" si="154">IF(P153&gt;prisgrense,K153*prisgrense,K153*P153)</f>
        <v>0</v>
      </c>
      <c r="V153" s="132">
        <f t="shared" ref="V153" si="155">IF(Q153&gt;prisgrense,L153*prisgrense,L153*Q153)</f>
        <v>0</v>
      </c>
      <c r="W153" s="132">
        <f t="shared" ref="W153" si="156">IF(R153&gt;prisgrense,M153*prisgrense,M153*R153)</f>
        <v>0</v>
      </c>
      <c r="X153" s="132">
        <f t="shared" ref="X153" si="157">SUM(T153:W153)</f>
        <v>34624</v>
      </c>
      <c r="Y153" s="152" t="s">
        <v>1010</v>
      </c>
      <c r="Z153" s="395"/>
      <c r="AC153" s="559"/>
    </row>
    <row r="154" spans="1:29" ht="12.75" customHeight="1" outlineLevel="2" x14ac:dyDescent="0.2">
      <c r="A154" s="495">
        <v>2</v>
      </c>
      <c r="B154" s="138">
        <v>9</v>
      </c>
      <c r="C154" s="129" t="s">
        <v>747</v>
      </c>
      <c r="D154" s="129" t="s">
        <v>750</v>
      </c>
      <c r="E154" s="184" t="s">
        <v>748</v>
      </c>
      <c r="F154" s="135" t="s">
        <v>151</v>
      </c>
      <c r="G154" s="143" t="s">
        <v>749</v>
      </c>
      <c r="H154" s="133" t="s">
        <v>8</v>
      </c>
      <c r="I154" s="134" t="s">
        <v>128</v>
      </c>
      <c r="J154" s="134"/>
      <c r="K154" s="134"/>
      <c r="L154" s="134"/>
      <c r="M154" s="177"/>
      <c r="N154" s="302">
        <f t="shared" ref="N154" si="158">SUM(J154:M154)</f>
        <v>0</v>
      </c>
      <c r="O154" s="146">
        <v>4544</v>
      </c>
      <c r="P154" s="146">
        <v>4544</v>
      </c>
      <c r="Q154" s="622">
        <v>4544</v>
      </c>
      <c r="R154" s="146">
        <v>4412</v>
      </c>
      <c r="S154" s="132">
        <f t="shared" ref="S154" si="159">SUMPRODUCT(J154:M154,O154:R154)</f>
        <v>0</v>
      </c>
      <c r="T154" s="132">
        <f t="shared" ref="T154" si="160">IF(O154&gt;prisgrense,J154*prisgrense,J154*O154)</f>
        <v>0</v>
      </c>
      <c r="U154" s="132">
        <f t="shared" ref="U154" si="161">IF(P154&gt;prisgrense,K154*prisgrense,K154*P154)</f>
        <v>0</v>
      </c>
      <c r="V154" s="132">
        <f t="shared" ref="V154" si="162">IF(Q154&gt;prisgrense,L154*prisgrense,L154*Q154)</f>
        <v>0</v>
      </c>
      <c r="W154" s="132">
        <f t="shared" ref="W154" si="163">IF(R154&gt;prisgrense,M154*prisgrense,M154*R154)</f>
        <v>0</v>
      </c>
      <c r="X154" s="132">
        <f t="shared" ref="X154" si="164">SUM(T154:W154)</f>
        <v>0</v>
      </c>
      <c r="Y154" s="104" t="s">
        <v>735</v>
      </c>
      <c r="AC154" s="521"/>
    </row>
    <row r="155" spans="1:29" ht="12.75" customHeight="1" outlineLevel="2" x14ac:dyDescent="0.2">
      <c r="A155" s="495">
        <v>2</v>
      </c>
      <c r="B155" s="138">
        <v>11</v>
      </c>
      <c r="C155" s="129" t="s">
        <v>570</v>
      </c>
      <c r="D155" s="129" t="s">
        <v>571</v>
      </c>
      <c r="E155" s="356">
        <v>1010209</v>
      </c>
      <c r="F155" s="130" t="s">
        <v>746</v>
      </c>
      <c r="G155" s="143" t="s">
        <v>105</v>
      </c>
      <c r="H155" s="133" t="s">
        <v>8</v>
      </c>
      <c r="I155" s="134" t="s">
        <v>168</v>
      </c>
      <c r="J155" s="134">
        <v>6</v>
      </c>
      <c r="K155" s="134"/>
      <c r="L155" s="134"/>
      <c r="M155" s="177"/>
      <c r="N155" s="302">
        <f t="shared" si="85"/>
        <v>6</v>
      </c>
      <c r="O155" s="149">
        <v>4609</v>
      </c>
      <c r="P155" s="149">
        <v>4609</v>
      </c>
      <c r="Q155" s="149">
        <v>4609</v>
      </c>
      <c r="R155" s="149">
        <v>4609</v>
      </c>
      <c r="S155" s="132">
        <f t="shared" ref="S155" si="165">SUMPRODUCT(J155:M155,O155:R155)</f>
        <v>27654</v>
      </c>
      <c r="T155" s="132">
        <f t="shared" ref="T155" si="166">IF(O155&gt;prisgrense,J155*prisgrense,J155*O155)</f>
        <v>27654</v>
      </c>
      <c r="U155" s="132">
        <f t="shared" ref="U155" si="167">IF(P155&gt;prisgrense,K155*prisgrense,K155*P155)</f>
        <v>0</v>
      </c>
      <c r="V155" s="132">
        <f t="shared" ref="V155" si="168">IF(Q155&gt;prisgrense,L155*prisgrense,L155*Q155)</f>
        <v>0</v>
      </c>
      <c r="W155" s="132">
        <f t="shared" ref="W155" si="169">IF(R155&gt;prisgrense,M155*prisgrense,M155*R155)</f>
        <v>0</v>
      </c>
      <c r="X155" s="132">
        <f t="shared" ref="X155" si="170">SUM(T155:W155)</f>
        <v>27654</v>
      </c>
      <c r="Y155" s="104" t="s">
        <v>965</v>
      </c>
      <c r="Z155" s="393">
        <v>2</v>
      </c>
      <c r="AC155" s="521"/>
    </row>
    <row r="156" spans="1:29" ht="12.75" customHeight="1" outlineLevel="2" x14ac:dyDescent="0.2">
      <c r="A156" s="495">
        <v>2</v>
      </c>
      <c r="B156" s="138">
        <v>11</v>
      </c>
      <c r="C156" s="129"/>
      <c r="D156" s="129" t="s">
        <v>966</v>
      </c>
      <c r="E156" s="356">
        <v>176782</v>
      </c>
      <c r="F156" s="130" t="s">
        <v>746</v>
      </c>
      <c r="G156" s="143"/>
      <c r="H156" s="133" t="s">
        <v>8</v>
      </c>
      <c r="I156" s="134" t="s">
        <v>168</v>
      </c>
      <c r="J156" s="134">
        <v>40</v>
      </c>
      <c r="K156" s="134"/>
      <c r="L156" s="134"/>
      <c r="M156" s="177"/>
      <c r="N156" s="302">
        <f t="shared" si="85"/>
        <v>40</v>
      </c>
      <c r="O156" s="144">
        <v>4786</v>
      </c>
      <c r="P156" s="144">
        <v>4786</v>
      </c>
      <c r="Q156" s="618">
        <v>4786</v>
      </c>
      <c r="R156" s="149">
        <v>4609</v>
      </c>
      <c r="S156" s="132">
        <f t="shared" ref="S156" si="171">SUMPRODUCT(J156:M156,O156:R156)</f>
        <v>191440</v>
      </c>
      <c r="T156" s="132">
        <f t="shared" ref="T156" si="172">IF(O156&gt;prisgrense,J156*prisgrense,J156*O156)</f>
        <v>191440</v>
      </c>
      <c r="U156" s="132">
        <f t="shared" ref="U156" si="173">IF(P156&gt;prisgrense,K156*prisgrense,K156*P156)</f>
        <v>0</v>
      </c>
      <c r="V156" s="132">
        <f t="shared" ref="V156" si="174">IF(Q156&gt;prisgrense,L156*prisgrense,L156*Q156)</f>
        <v>0</v>
      </c>
      <c r="W156" s="132">
        <f t="shared" ref="W156" si="175">IF(R156&gt;prisgrense,M156*prisgrense,M156*R156)</f>
        <v>0</v>
      </c>
      <c r="X156" s="132">
        <f t="shared" ref="X156" si="176">SUM(T156:W156)</f>
        <v>191440</v>
      </c>
      <c r="Y156" s="104" t="s">
        <v>967</v>
      </c>
      <c r="AC156" s="521"/>
    </row>
    <row r="157" spans="1:29" ht="12.75" customHeight="1" outlineLevel="2" x14ac:dyDescent="0.2">
      <c r="A157" s="495">
        <v>2</v>
      </c>
      <c r="B157" s="138">
        <v>12</v>
      </c>
      <c r="C157" s="129" t="s">
        <v>575</v>
      </c>
      <c r="D157" s="129" t="s">
        <v>576</v>
      </c>
      <c r="E157" s="356" t="s">
        <v>577</v>
      </c>
      <c r="F157" s="130" t="s">
        <v>106</v>
      </c>
      <c r="G157" s="143" t="s">
        <v>107</v>
      </c>
      <c r="H157" s="133" t="s">
        <v>8</v>
      </c>
      <c r="I157" s="134" t="s">
        <v>67</v>
      </c>
      <c r="J157" s="134"/>
      <c r="K157" s="134"/>
      <c r="L157" s="134"/>
      <c r="M157" s="177"/>
      <c r="N157" s="302">
        <f t="shared" ref="N157" si="177">SUM(J157:M157)</f>
        <v>0</v>
      </c>
      <c r="O157" s="144">
        <v>3246</v>
      </c>
      <c r="P157" s="144">
        <v>3246</v>
      </c>
      <c r="Q157" s="618">
        <v>3246</v>
      </c>
      <c r="R157" s="144">
        <v>3151</v>
      </c>
      <c r="S157" s="132">
        <f t="shared" ref="S157" si="178">SUMPRODUCT(J157:M157,O157:R157)</f>
        <v>0</v>
      </c>
      <c r="T157" s="132">
        <f t="shared" ref="T157" si="179">IF(O157&gt;prisgrense,J157*prisgrense,J157*O157)</f>
        <v>0</v>
      </c>
      <c r="U157" s="132">
        <f t="shared" ref="U157" si="180">IF(P157&gt;prisgrense,K157*prisgrense,K157*P157)</f>
        <v>0</v>
      </c>
      <c r="V157" s="132">
        <f t="shared" ref="V157" si="181">IF(Q157&gt;prisgrense,L157*prisgrense,L157*Q157)</f>
        <v>0</v>
      </c>
      <c r="W157" s="132">
        <f t="shared" ref="W157" si="182">IF(R157&gt;prisgrense,M157*prisgrense,M157*R157)</f>
        <v>0</v>
      </c>
      <c r="X157" s="132">
        <f t="shared" ref="X157" si="183">SUM(T157:W157)</f>
        <v>0</v>
      </c>
      <c r="Y157" s="104" t="s">
        <v>532</v>
      </c>
      <c r="AC157" s="521"/>
    </row>
    <row r="158" spans="1:29" ht="12.75" customHeight="1" outlineLevel="2" x14ac:dyDescent="0.2">
      <c r="A158" s="495">
        <v>2</v>
      </c>
      <c r="B158" s="138">
        <v>13</v>
      </c>
      <c r="C158" s="129" t="s">
        <v>586</v>
      </c>
      <c r="D158" s="129" t="s">
        <v>587</v>
      </c>
      <c r="E158" s="184">
        <v>19861100</v>
      </c>
      <c r="F158" s="130" t="s">
        <v>817</v>
      </c>
      <c r="G158" s="143" t="s">
        <v>58</v>
      </c>
      <c r="H158" s="133" t="s">
        <v>8</v>
      </c>
      <c r="I158" s="134" t="s">
        <v>128</v>
      </c>
      <c r="J158" s="134">
        <v>8</v>
      </c>
      <c r="K158" s="134"/>
      <c r="L158" s="134"/>
      <c r="M158" s="177"/>
      <c r="N158" s="302">
        <f t="shared" ref="N158" si="184">SUM(J158:M158)</f>
        <v>8</v>
      </c>
      <c r="O158" s="149">
        <v>4870</v>
      </c>
      <c r="P158" s="149">
        <v>4870</v>
      </c>
      <c r="Q158" s="619">
        <v>4870</v>
      </c>
      <c r="R158" s="149">
        <v>4728</v>
      </c>
      <c r="S158" s="132">
        <f t="shared" ref="S158" si="185">SUMPRODUCT(J158:M158,O158:R158)</f>
        <v>38960</v>
      </c>
      <c r="T158" s="132">
        <f t="shared" ref="T158" si="186">IF(O158&gt;prisgrense,J158*prisgrense,J158*O158)</f>
        <v>38656</v>
      </c>
      <c r="U158" s="132">
        <f t="shared" ref="U158" si="187">IF(P158&gt;prisgrense,K158*prisgrense,K158*P158)</f>
        <v>0</v>
      </c>
      <c r="V158" s="132">
        <f t="shared" ref="V158" si="188">IF(Q158&gt;prisgrense,L158*prisgrense,L158*Q158)</f>
        <v>0</v>
      </c>
      <c r="W158" s="132">
        <f t="shared" ref="W158" si="189">IF(R158&gt;prisgrense,M158*prisgrense,M158*R158)</f>
        <v>0</v>
      </c>
      <c r="X158" s="132">
        <f t="shared" ref="X158" si="190">SUM(T158:W158)</f>
        <v>38656</v>
      </c>
      <c r="Y158" s="104" t="s">
        <v>588</v>
      </c>
      <c r="AC158" s="521"/>
    </row>
    <row r="159" spans="1:29" ht="12.75" customHeight="1" outlineLevel="2" x14ac:dyDescent="0.2">
      <c r="A159" s="495">
        <v>2</v>
      </c>
      <c r="B159" s="138">
        <v>14</v>
      </c>
      <c r="C159" s="129" t="s">
        <v>335</v>
      </c>
      <c r="D159" s="129" t="s">
        <v>336</v>
      </c>
      <c r="E159" s="184" t="s">
        <v>337</v>
      </c>
      <c r="F159" s="130" t="s">
        <v>106</v>
      </c>
      <c r="G159" s="143" t="s">
        <v>107</v>
      </c>
      <c r="H159" s="136" t="s">
        <v>8</v>
      </c>
      <c r="I159" s="134" t="s">
        <v>128</v>
      </c>
      <c r="J159" s="134"/>
      <c r="K159" s="134"/>
      <c r="L159" s="134"/>
      <c r="M159" s="177"/>
      <c r="N159" s="302">
        <f t="shared" si="85"/>
        <v>0</v>
      </c>
      <c r="O159" s="144">
        <v>3570</v>
      </c>
      <c r="P159" s="144">
        <v>3570</v>
      </c>
      <c r="Q159" s="618">
        <v>3570</v>
      </c>
      <c r="R159" s="144">
        <v>3466</v>
      </c>
      <c r="S159" s="132">
        <f t="shared" si="96"/>
        <v>0</v>
      </c>
      <c r="T159" s="132">
        <f t="shared" si="97"/>
        <v>0</v>
      </c>
      <c r="U159" s="132">
        <f t="shared" si="97"/>
        <v>0</v>
      </c>
      <c r="V159" s="132">
        <f t="shared" si="97"/>
        <v>0</v>
      </c>
      <c r="W159" s="132">
        <f t="shared" si="97"/>
        <v>0</v>
      </c>
      <c r="X159" s="132">
        <f t="shared" si="98"/>
        <v>0</v>
      </c>
      <c r="Y159" s="104"/>
      <c r="AC159" s="521"/>
    </row>
    <row r="160" spans="1:29" ht="12.75" customHeight="1" outlineLevel="2" x14ac:dyDescent="0.2">
      <c r="A160" s="495">
        <v>2</v>
      </c>
      <c r="B160" s="138">
        <v>15</v>
      </c>
      <c r="C160" s="129" t="s">
        <v>836</v>
      </c>
      <c r="D160" s="129" t="s">
        <v>837</v>
      </c>
      <c r="E160" s="184"/>
      <c r="F160" s="130" t="s">
        <v>817</v>
      </c>
      <c r="G160" s="143" t="s">
        <v>58</v>
      </c>
      <c r="H160" s="133" t="s">
        <v>8</v>
      </c>
      <c r="I160" s="134" t="s">
        <v>128</v>
      </c>
      <c r="J160" s="134">
        <v>81</v>
      </c>
      <c r="K160" s="134"/>
      <c r="L160" s="134"/>
      <c r="M160" s="177"/>
      <c r="N160" s="302">
        <f t="shared" ref="N160" si="191">SUM(J160:M160)</f>
        <v>81</v>
      </c>
      <c r="O160" s="149">
        <v>4870</v>
      </c>
      <c r="P160" s="149">
        <v>4870</v>
      </c>
      <c r="Q160" s="619">
        <v>4870</v>
      </c>
      <c r="R160" s="149">
        <v>4728</v>
      </c>
      <c r="S160" s="132">
        <f t="shared" ref="S160" si="192">SUMPRODUCT(J160:M160,O160:R160)</f>
        <v>394470</v>
      </c>
      <c r="T160" s="132">
        <f t="shared" ref="T160" si="193">IF(O160&gt;prisgrense,J160*prisgrense,J160*O160)</f>
        <v>391392</v>
      </c>
      <c r="U160" s="132">
        <f t="shared" ref="U160" si="194">IF(P160&gt;prisgrense,K160*prisgrense,K160*P160)</f>
        <v>0</v>
      </c>
      <c r="V160" s="132">
        <f t="shared" ref="V160" si="195">IF(Q160&gt;prisgrense,L160*prisgrense,L160*Q160)</f>
        <v>0</v>
      </c>
      <c r="W160" s="132">
        <f t="shared" ref="W160" si="196">IF(R160&gt;prisgrense,M160*prisgrense,M160*R160)</f>
        <v>0</v>
      </c>
      <c r="X160" s="132">
        <f t="shared" ref="X160" si="197">SUM(T160:W160)</f>
        <v>391392</v>
      </c>
      <c r="Y160" s="104" t="s">
        <v>835</v>
      </c>
      <c r="AC160" s="521"/>
    </row>
    <row r="161" spans="1:29 16384:16384" ht="12.75" customHeight="1" outlineLevel="2" x14ac:dyDescent="0.2">
      <c r="A161" s="495">
        <v>2</v>
      </c>
      <c r="B161" s="138">
        <v>16</v>
      </c>
      <c r="C161" s="129" t="s">
        <v>586</v>
      </c>
      <c r="D161" s="129" t="s">
        <v>590</v>
      </c>
      <c r="E161" s="184">
        <v>19962200</v>
      </c>
      <c r="F161" s="130" t="s">
        <v>817</v>
      </c>
      <c r="G161" s="143" t="s">
        <v>58</v>
      </c>
      <c r="H161" s="133" t="s">
        <v>8</v>
      </c>
      <c r="I161" s="134" t="s">
        <v>128</v>
      </c>
      <c r="J161" s="134">
        <v>4</v>
      </c>
      <c r="K161" s="134"/>
      <c r="L161" s="134"/>
      <c r="M161" s="177"/>
      <c r="N161" s="302">
        <f t="shared" ref="N161" si="198">SUM(J161:M161)</f>
        <v>4</v>
      </c>
      <c r="O161" s="149">
        <v>4800</v>
      </c>
      <c r="P161" s="149">
        <v>4800</v>
      </c>
      <c r="Q161" s="619">
        <v>4800</v>
      </c>
      <c r="R161" s="149">
        <v>4660</v>
      </c>
      <c r="S161" s="132">
        <f t="shared" ref="S161" si="199">SUMPRODUCT(J161:M161,O161:R161)</f>
        <v>19200</v>
      </c>
      <c r="T161" s="132">
        <f t="shared" ref="T161" si="200">IF(O161&gt;prisgrense,J161*prisgrense,J161*O161)</f>
        <v>19200</v>
      </c>
      <c r="U161" s="132">
        <f t="shared" ref="U161" si="201">IF(P161&gt;prisgrense,K161*prisgrense,K161*P161)</f>
        <v>0</v>
      </c>
      <c r="V161" s="132">
        <f t="shared" ref="V161" si="202">IF(Q161&gt;prisgrense,L161*prisgrense,L161*Q161)</f>
        <v>0</v>
      </c>
      <c r="W161" s="132">
        <f t="shared" ref="W161" si="203">IF(R161&gt;prisgrense,M161*prisgrense,M161*R161)</f>
        <v>0</v>
      </c>
      <c r="X161" s="132">
        <f t="shared" ref="X161" si="204">SUM(T161:W161)</f>
        <v>19200</v>
      </c>
      <c r="Y161" s="104" t="s">
        <v>588</v>
      </c>
      <c r="AC161" s="521"/>
    </row>
    <row r="162" spans="1:29 16384:16384" ht="12.75" customHeight="1" outlineLevel="2" x14ac:dyDescent="0.2">
      <c r="A162" s="495">
        <v>2</v>
      </c>
      <c r="B162" s="138">
        <v>17</v>
      </c>
      <c r="C162" s="129" t="s">
        <v>836</v>
      </c>
      <c r="D162" s="129" t="s">
        <v>838</v>
      </c>
      <c r="E162" s="184"/>
      <c r="F162" s="130" t="s">
        <v>817</v>
      </c>
      <c r="G162" s="143" t="s">
        <v>58</v>
      </c>
      <c r="H162" s="133" t="s">
        <v>8</v>
      </c>
      <c r="I162" s="134" t="s">
        <v>128</v>
      </c>
      <c r="J162" s="134">
        <v>91</v>
      </c>
      <c r="K162" s="134"/>
      <c r="L162" s="134"/>
      <c r="M162" s="177"/>
      <c r="N162" s="302">
        <f t="shared" ref="N162" si="205">SUM(J162:M162)</f>
        <v>91</v>
      </c>
      <c r="O162" s="149">
        <v>4800</v>
      </c>
      <c r="P162" s="149">
        <v>4800</v>
      </c>
      <c r="Q162" s="619">
        <v>4800</v>
      </c>
      <c r="R162" s="149">
        <v>4660</v>
      </c>
      <c r="S162" s="132">
        <f t="shared" ref="S162" si="206">SUMPRODUCT(J162:M162,O162:R162)</f>
        <v>436800</v>
      </c>
      <c r="T162" s="132">
        <f t="shared" ref="T162" si="207">IF(O162&gt;prisgrense,J162*prisgrense,J162*O162)</f>
        <v>436800</v>
      </c>
      <c r="U162" s="132">
        <f t="shared" ref="U162" si="208">IF(P162&gt;prisgrense,K162*prisgrense,K162*P162)</f>
        <v>0</v>
      </c>
      <c r="V162" s="132">
        <f t="shared" ref="V162" si="209">IF(Q162&gt;prisgrense,L162*prisgrense,L162*Q162)</f>
        <v>0</v>
      </c>
      <c r="W162" s="132">
        <f t="shared" ref="W162" si="210">IF(R162&gt;prisgrense,M162*prisgrense,M162*R162)</f>
        <v>0</v>
      </c>
      <c r="X162" s="132">
        <f t="shared" ref="X162" si="211">SUM(T162:W162)</f>
        <v>436800</v>
      </c>
      <c r="Y162" s="104" t="s">
        <v>835</v>
      </c>
      <c r="AC162" s="521"/>
    </row>
    <row r="163" spans="1:29 16384:16384" ht="12.75" customHeight="1" outlineLevel="2" x14ac:dyDescent="0.2">
      <c r="A163" s="495">
        <v>2</v>
      </c>
      <c r="B163" s="138">
        <v>18</v>
      </c>
      <c r="C163" s="129" t="s">
        <v>335</v>
      </c>
      <c r="D163" s="129" t="s">
        <v>338</v>
      </c>
      <c r="E163" s="184">
        <v>20900</v>
      </c>
      <c r="F163" s="130" t="s">
        <v>106</v>
      </c>
      <c r="G163" s="143" t="s">
        <v>107</v>
      </c>
      <c r="H163" s="136" t="s">
        <v>8</v>
      </c>
      <c r="I163" s="134" t="s">
        <v>128</v>
      </c>
      <c r="J163" s="134"/>
      <c r="K163" s="134"/>
      <c r="L163" s="134"/>
      <c r="M163" s="177"/>
      <c r="N163" s="302">
        <f t="shared" si="85"/>
        <v>0</v>
      </c>
      <c r="O163" s="144">
        <v>4112</v>
      </c>
      <c r="P163" s="144">
        <v>4112</v>
      </c>
      <c r="Q163" s="618">
        <v>4112</v>
      </c>
      <c r="R163" s="144">
        <v>3992</v>
      </c>
      <c r="S163" s="132">
        <f t="shared" si="96"/>
        <v>0</v>
      </c>
      <c r="T163" s="132">
        <f t="shared" si="97"/>
        <v>0</v>
      </c>
      <c r="U163" s="132">
        <f t="shared" si="97"/>
        <v>0</v>
      </c>
      <c r="V163" s="132">
        <f t="shared" si="97"/>
        <v>0</v>
      </c>
      <c r="W163" s="132">
        <f t="shared" si="97"/>
        <v>0</v>
      </c>
      <c r="X163" s="132">
        <f t="shared" si="98"/>
        <v>0</v>
      </c>
      <c r="Y163" s="104"/>
      <c r="AC163" s="521"/>
    </row>
    <row r="164" spans="1:29 16384:16384" ht="12.75" customHeight="1" outlineLevel="2" x14ac:dyDescent="0.2">
      <c r="A164" s="495">
        <v>2</v>
      </c>
      <c r="B164" s="138">
        <v>19</v>
      </c>
      <c r="C164" s="129" t="s">
        <v>575</v>
      </c>
      <c r="D164" s="129" t="s">
        <v>578</v>
      </c>
      <c r="E164" s="184" t="s">
        <v>579</v>
      </c>
      <c r="F164" s="130" t="s">
        <v>106</v>
      </c>
      <c r="G164" s="143" t="s">
        <v>107</v>
      </c>
      <c r="H164" s="136" t="s">
        <v>8</v>
      </c>
      <c r="I164" s="134" t="s">
        <v>128</v>
      </c>
      <c r="J164" s="134"/>
      <c r="K164" s="134"/>
      <c r="L164" s="134"/>
      <c r="M164" s="177"/>
      <c r="N164" s="302">
        <f t="shared" ref="N164" si="212">SUM(J164:M164)</f>
        <v>0</v>
      </c>
      <c r="O164" s="144">
        <v>3787</v>
      </c>
      <c r="P164" s="144">
        <v>3787</v>
      </c>
      <c r="Q164" s="618">
        <v>3787</v>
      </c>
      <c r="R164" s="144">
        <v>3677</v>
      </c>
      <c r="S164" s="132">
        <f t="shared" ref="S164" si="213">SUMPRODUCT(J164:M164,O164:R164)</f>
        <v>0</v>
      </c>
      <c r="T164" s="132">
        <f t="shared" ref="T164" si="214">IF(O164&gt;prisgrense,J164*prisgrense,J164*O164)</f>
        <v>0</v>
      </c>
      <c r="U164" s="132">
        <f t="shared" ref="U164" si="215">IF(P164&gt;prisgrense,K164*prisgrense,K164*P164)</f>
        <v>0</v>
      </c>
      <c r="V164" s="132">
        <f t="shared" ref="V164" si="216">IF(Q164&gt;prisgrense,L164*prisgrense,L164*Q164)</f>
        <v>0</v>
      </c>
      <c r="W164" s="132">
        <f t="shared" ref="W164" si="217">IF(R164&gt;prisgrense,M164*prisgrense,M164*R164)</f>
        <v>0</v>
      </c>
      <c r="X164" s="132">
        <f t="shared" ref="X164" si="218">SUM(T164:W164)</f>
        <v>0</v>
      </c>
      <c r="Y164" s="104" t="s">
        <v>532</v>
      </c>
      <c r="AC164" s="521"/>
    </row>
    <row r="165" spans="1:29 16384:16384" ht="12.75" customHeight="1" outlineLevel="2" x14ac:dyDescent="0.2">
      <c r="A165" s="495">
        <v>2</v>
      </c>
      <c r="B165" s="138">
        <v>20</v>
      </c>
      <c r="C165" s="129" t="s">
        <v>575</v>
      </c>
      <c r="D165" s="129" t="s">
        <v>580</v>
      </c>
      <c r="E165" s="184" t="s">
        <v>581</v>
      </c>
      <c r="F165" s="130" t="s">
        <v>106</v>
      </c>
      <c r="G165" s="143" t="s">
        <v>107</v>
      </c>
      <c r="H165" s="133" t="s">
        <v>8</v>
      </c>
      <c r="I165" s="134" t="s">
        <v>128</v>
      </c>
      <c r="J165" s="134">
        <v>13</v>
      </c>
      <c r="K165" s="134"/>
      <c r="L165" s="134"/>
      <c r="M165" s="177"/>
      <c r="N165" s="302">
        <f t="shared" ref="N165" si="219">SUM(J165:M165)</f>
        <v>13</v>
      </c>
      <c r="O165" s="144">
        <v>4328</v>
      </c>
      <c r="P165" s="144">
        <v>4328</v>
      </c>
      <c r="Q165" s="618">
        <v>4328</v>
      </c>
      <c r="R165" s="144">
        <v>4202</v>
      </c>
      <c r="S165" s="132">
        <f t="shared" ref="S165" si="220">SUMPRODUCT(J165:M165,O165:R165)</f>
        <v>56264</v>
      </c>
      <c r="T165" s="132">
        <f t="shared" ref="T165" si="221">IF(O165&gt;prisgrense,J165*prisgrense,J165*O165)</f>
        <v>56264</v>
      </c>
      <c r="U165" s="132">
        <f t="shared" ref="U165" si="222">IF(P165&gt;prisgrense,K165*prisgrense,K165*P165)</f>
        <v>0</v>
      </c>
      <c r="V165" s="132">
        <f t="shared" ref="V165" si="223">IF(Q165&gt;prisgrense,L165*prisgrense,L165*Q165)</f>
        <v>0</v>
      </c>
      <c r="W165" s="132">
        <f t="shared" ref="W165" si="224">IF(R165&gt;prisgrense,M165*prisgrense,M165*R165)</f>
        <v>0</v>
      </c>
      <c r="X165" s="132">
        <f t="shared" ref="X165" si="225">SUM(T165:W165)</f>
        <v>56264</v>
      </c>
      <c r="Y165" s="104" t="s">
        <v>532</v>
      </c>
      <c r="AC165" s="521"/>
    </row>
    <row r="166" spans="1:29 16384:16384" ht="12.75" customHeight="1" outlineLevel="2" x14ac:dyDescent="0.2">
      <c r="A166" s="495">
        <v>2</v>
      </c>
      <c r="B166" s="138">
        <v>21</v>
      </c>
      <c r="C166" s="129" t="s">
        <v>102</v>
      </c>
      <c r="D166" s="129" t="s">
        <v>339</v>
      </c>
      <c r="E166" s="184" t="s">
        <v>340</v>
      </c>
      <c r="F166" s="130" t="s">
        <v>109</v>
      </c>
      <c r="G166" s="143" t="s">
        <v>291</v>
      </c>
      <c r="H166" s="133" t="s">
        <v>8</v>
      </c>
      <c r="I166" s="134" t="s">
        <v>168</v>
      </c>
      <c r="J166" s="134"/>
      <c r="K166" s="134"/>
      <c r="L166" s="134"/>
      <c r="M166" s="177"/>
      <c r="N166" s="302">
        <f>SUM(J166:M166)</f>
        <v>0</v>
      </c>
      <c r="O166" s="146">
        <v>4112</v>
      </c>
      <c r="P166" s="146">
        <v>4112</v>
      </c>
      <c r="Q166" s="622">
        <v>4112</v>
      </c>
      <c r="R166" s="146">
        <v>3992</v>
      </c>
      <c r="S166" s="132">
        <f>SUMPRODUCT(J166:M166,O166:R166)</f>
        <v>0</v>
      </c>
      <c r="T166" s="132">
        <f>IF(O166&gt;prisgrense,J166*prisgrense,J166*O166)</f>
        <v>0</v>
      </c>
      <c r="U166" s="132">
        <f>IF(P166&gt;prisgrense,K166*prisgrense,K166*P166)</f>
        <v>0</v>
      </c>
      <c r="V166" s="132">
        <f>IF(Q166&gt;prisgrense,L166*prisgrense,L166*Q166)</f>
        <v>0</v>
      </c>
      <c r="W166" s="132">
        <f>IF(R166&gt;prisgrense,M166*prisgrense,M166*R166)</f>
        <v>0</v>
      </c>
      <c r="X166" s="132">
        <f>SUM(T166:W166)</f>
        <v>0</v>
      </c>
      <c r="Y166" s="104"/>
      <c r="AC166" s="521"/>
    </row>
    <row r="167" spans="1:29 16384:16384" ht="12.75" customHeight="1" outlineLevel="1" x14ac:dyDescent="0.2">
      <c r="A167" s="498" t="s">
        <v>565</v>
      </c>
      <c r="B167" s="181"/>
      <c r="C167" s="154"/>
      <c r="D167" s="573" t="s">
        <v>329</v>
      </c>
      <c r="E167" s="320"/>
      <c r="F167" s="182"/>
      <c r="G167" s="183"/>
      <c r="H167" s="397"/>
      <c r="I167" s="172"/>
      <c r="J167" s="172">
        <f>SUBTOTAL(9,J144:J166)</f>
        <v>661</v>
      </c>
      <c r="K167" s="172">
        <f>SUBTOTAL(9,K144:K166)</f>
        <v>0</v>
      </c>
      <c r="L167" s="172">
        <f>SUBTOTAL(9,L144:L166)</f>
        <v>0</v>
      </c>
      <c r="M167" s="172">
        <f>SUBTOTAL(9,M144:M166)</f>
        <v>0</v>
      </c>
      <c r="N167" s="348">
        <f>SUBTOTAL(9,N144:N166)</f>
        <v>661</v>
      </c>
      <c r="O167" s="155"/>
      <c r="P167" s="155"/>
      <c r="Q167" s="155"/>
      <c r="R167" s="155"/>
      <c r="S167" s="400">
        <f t="shared" ref="S167:X167" si="226">SUBTOTAL(9,S143:S166)</f>
        <v>2190235</v>
      </c>
      <c r="T167" s="400">
        <f t="shared" si="226"/>
        <v>2186853</v>
      </c>
      <c r="U167" s="400">
        <f t="shared" si="226"/>
        <v>0</v>
      </c>
      <c r="V167" s="400">
        <f t="shared" si="226"/>
        <v>0</v>
      </c>
      <c r="W167" s="400">
        <f t="shared" si="226"/>
        <v>0</v>
      </c>
      <c r="X167" s="400">
        <f t="shared" si="226"/>
        <v>2186853</v>
      </c>
      <c r="Y167" s="104"/>
      <c r="AC167" s="521"/>
      <c r="XFD167" s="104">
        <f>SUBTOTAL(9,XFD143:XFD166)</f>
        <v>0</v>
      </c>
    </row>
    <row r="168" spans="1:29 16384:16384" ht="12.75" customHeight="1" outlineLevel="1" x14ac:dyDescent="0.2">
      <c r="A168" s="493"/>
      <c r="B168" s="166"/>
      <c r="C168" s="154"/>
      <c r="D168" s="169"/>
      <c r="E168" s="320"/>
      <c r="F168" s="170"/>
      <c r="G168" s="170"/>
      <c r="H168" s="171"/>
      <c r="I168" s="172"/>
      <c r="J168" s="172"/>
      <c r="K168" s="172"/>
      <c r="L168" s="172"/>
      <c r="M168" s="172"/>
      <c r="N168" s="348"/>
      <c r="O168" s="155"/>
      <c r="P168" s="155"/>
      <c r="Q168" s="155"/>
      <c r="R168" s="155"/>
      <c r="Y168" s="104"/>
      <c r="AC168" s="521"/>
    </row>
    <row r="169" spans="1:29 16384:16384" s="126" customFormat="1" ht="12.75" customHeight="1" outlineLevel="2" x14ac:dyDescent="0.2">
      <c r="A169" s="493">
        <v>3</v>
      </c>
      <c r="B169" s="124"/>
      <c r="C169" s="125" t="s">
        <v>341</v>
      </c>
      <c r="D169" s="168" t="s">
        <v>342</v>
      </c>
      <c r="E169" s="355"/>
      <c r="F169" s="174"/>
      <c r="G169" s="174"/>
      <c r="H169" s="174"/>
      <c r="I169" s="176"/>
      <c r="J169" s="176"/>
      <c r="K169" s="176"/>
      <c r="L169" s="176"/>
      <c r="M169" s="176"/>
      <c r="N169" s="347"/>
      <c r="O169" s="175"/>
      <c r="P169" s="175"/>
      <c r="Q169" s="175"/>
      <c r="R169" s="175"/>
      <c r="Z169" s="474"/>
      <c r="AC169" s="521"/>
    </row>
    <row r="170" spans="1:29 16384:16384" ht="12.75" customHeight="1" outlineLevel="2" x14ac:dyDescent="0.2">
      <c r="A170" s="495">
        <v>3</v>
      </c>
      <c r="B170" s="127">
        <v>2</v>
      </c>
      <c r="C170" s="156">
        <v>5</v>
      </c>
      <c r="D170" s="129" t="s">
        <v>845</v>
      </c>
      <c r="E170" s="184" t="s">
        <v>846</v>
      </c>
      <c r="F170" s="135" t="s">
        <v>151</v>
      </c>
      <c r="G170" s="135"/>
      <c r="H170" s="136" t="s">
        <v>8</v>
      </c>
      <c r="I170" s="134" t="s">
        <v>68</v>
      </c>
      <c r="J170" s="134"/>
      <c r="K170" s="134"/>
      <c r="L170" s="134"/>
      <c r="M170" s="177"/>
      <c r="N170" s="302">
        <f t="shared" si="85"/>
        <v>0</v>
      </c>
      <c r="O170" s="146">
        <v>4004</v>
      </c>
      <c r="P170" s="146">
        <v>4004</v>
      </c>
      <c r="Q170" s="622">
        <v>4004</v>
      </c>
      <c r="R170" s="146">
        <v>3887</v>
      </c>
      <c r="S170" s="132">
        <f t="shared" ref="S170" si="227">SUMPRODUCT(J170:M170,O170:R170)</f>
        <v>0</v>
      </c>
      <c r="T170" s="132">
        <f t="shared" ref="T170" si="228">IF(O170&gt;prisgrense,J170*prisgrense,J170*O170)</f>
        <v>0</v>
      </c>
      <c r="U170" s="132">
        <f t="shared" ref="U170" si="229">IF(P170&gt;prisgrense,K170*prisgrense,K170*P170)</f>
        <v>0</v>
      </c>
      <c r="V170" s="132">
        <f t="shared" ref="V170" si="230">IF(Q170&gt;prisgrense,L170*prisgrense,L170*Q170)</f>
        <v>0</v>
      </c>
      <c r="W170" s="132">
        <f t="shared" ref="W170" si="231">IF(R170&gt;prisgrense,M170*prisgrense,M170*R170)</f>
        <v>0</v>
      </c>
      <c r="X170" s="132">
        <f t="shared" ref="X170" si="232">SUM(T170:W170)</f>
        <v>0</v>
      </c>
      <c r="Y170" s="104" t="s">
        <v>835</v>
      </c>
      <c r="AC170" s="521"/>
    </row>
    <row r="171" spans="1:29 16384:16384" ht="12.75" customHeight="1" outlineLevel="2" x14ac:dyDescent="0.2">
      <c r="A171" s="495">
        <v>3</v>
      </c>
      <c r="B171" s="127">
        <v>3</v>
      </c>
      <c r="C171" s="156" t="s">
        <v>635</v>
      </c>
      <c r="D171" s="129" t="s">
        <v>636</v>
      </c>
      <c r="E171" s="184">
        <v>11070</v>
      </c>
      <c r="F171" s="135" t="s">
        <v>108</v>
      </c>
      <c r="G171" s="135" t="s">
        <v>174</v>
      </c>
      <c r="H171" s="136" t="s">
        <v>8</v>
      </c>
      <c r="I171" s="134" t="s">
        <v>68</v>
      </c>
      <c r="J171" s="134"/>
      <c r="K171" s="134"/>
      <c r="L171" s="134"/>
      <c r="M171" s="177"/>
      <c r="N171" s="302">
        <f t="shared" ref="N171" si="233">SUM(J171:M171)</f>
        <v>0</v>
      </c>
      <c r="O171" s="146">
        <v>1623</v>
      </c>
      <c r="P171" s="146">
        <v>1623</v>
      </c>
      <c r="Q171" s="622">
        <v>1623</v>
      </c>
      <c r="R171" s="146">
        <v>1576</v>
      </c>
      <c r="S171" s="132">
        <f t="shared" ref="S171" si="234">SUMPRODUCT(J171:M171,O171:R171)</f>
        <v>0</v>
      </c>
      <c r="T171" s="132">
        <f t="shared" ref="T171" si="235">IF(O171&gt;prisgrense,J171*prisgrense,J171*O171)</f>
        <v>0</v>
      </c>
      <c r="U171" s="132">
        <f t="shared" ref="U171" si="236">IF(P171&gt;prisgrense,K171*prisgrense,K171*P171)</f>
        <v>0</v>
      </c>
      <c r="V171" s="132">
        <f t="shared" ref="V171" si="237">IF(Q171&gt;prisgrense,L171*prisgrense,L171*Q171)</f>
        <v>0</v>
      </c>
      <c r="W171" s="132">
        <f t="shared" ref="W171" si="238">IF(R171&gt;prisgrense,M171*prisgrense,M171*R171)</f>
        <v>0</v>
      </c>
      <c r="X171" s="132">
        <f t="shared" ref="X171" si="239">SUM(T171:W171)</f>
        <v>0</v>
      </c>
      <c r="Y171" s="104" t="s">
        <v>637</v>
      </c>
      <c r="AC171" s="521"/>
    </row>
    <row r="172" spans="1:29 16384:16384" ht="12.75" customHeight="1" outlineLevel="2" x14ac:dyDescent="0.2">
      <c r="A172" s="495">
        <v>3</v>
      </c>
      <c r="B172" s="127">
        <v>4</v>
      </c>
      <c r="C172" s="156">
        <v>7</v>
      </c>
      <c r="D172" s="129" t="s">
        <v>993</v>
      </c>
      <c r="E172" s="184" t="s">
        <v>994</v>
      </c>
      <c r="F172" s="135" t="s">
        <v>151</v>
      </c>
      <c r="G172" s="135"/>
      <c r="H172" s="136" t="s">
        <v>8</v>
      </c>
      <c r="I172" s="134" t="s">
        <v>68</v>
      </c>
      <c r="J172" s="134"/>
      <c r="K172" s="134"/>
      <c r="L172" s="134"/>
      <c r="M172" s="177"/>
      <c r="N172" s="302">
        <f t="shared" ref="N172" si="240">SUM(J172:M172)</f>
        <v>0</v>
      </c>
      <c r="O172" s="146">
        <v>4770</v>
      </c>
      <c r="P172" s="146">
        <v>4770</v>
      </c>
      <c r="Q172" s="622">
        <v>4770</v>
      </c>
      <c r="R172" s="146">
        <v>4770</v>
      </c>
      <c r="S172" s="132">
        <f t="shared" ref="S172" si="241">SUMPRODUCT(J172:M172,O172:R172)</f>
        <v>0</v>
      </c>
      <c r="T172" s="132">
        <f t="shared" ref="T172" si="242">IF(O172&gt;prisgrense,J172*prisgrense,J172*O172)</f>
        <v>0</v>
      </c>
      <c r="U172" s="132">
        <f t="shared" ref="U172" si="243">IF(P172&gt;prisgrense,K172*prisgrense,K172*P172)</f>
        <v>0</v>
      </c>
      <c r="V172" s="132">
        <f t="shared" ref="V172" si="244">IF(Q172&gt;prisgrense,L172*prisgrense,L172*Q172)</f>
        <v>0</v>
      </c>
      <c r="W172" s="132">
        <f t="shared" ref="W172" si="245">IF(R172&gt;prisgrense,M172*prisgrense,M172*R172)</f>
        <v>0</v>
      </c>
      <c r="X172" s="132">
        <f t="shared" ref="X172" si="246">SUM(T172:W172)</f>
        <v>0</v>
      </c>
      <c r="Y172" s="104" t="s">
        <v>982</v>
      </c>
      <c r="AC172" s="521"/>
    </row>
    <row r="173" spans="1:29 16384:16384" ht="12.75" customHeight="1" outlineLevel="2" x14ac:dyDescent="0.2">
      <c r="A173" s="495">
        <v>3</v>
      </c>
      <c r="B173" s="127">
        <v>5</v>
      </c>
      <c r="C173" s="156">
        <v>7</v>
      </c>
      <c r="D173" s="129" t="s">
        <v>847</v>
      </c>
      <c r="E173" s="184"/>
      <c r="F173" s="135" t="s">
        <v>151</v>
      </c>
      <c r="G173" s="135"/>
      <c r="H173" s="136" t="s">
        <v>8</v>
      </c>
      <c r="I173" s="134" t="s">
        <v>68</v>
      </c>
      <c r="J173" s="134"/>
      <c r="K173" s="134"/>
      <c r="L173" s="134"/>
      <c r="M173" s="177"/>
      <c r="N173" s="302">
        <f t="shared" ref="N173" si="247">SUM(J173:M173)</f>
        <v>0</v>
      </c>
      <c r="O173" s="146">
        <v>4770</v>
      </c>
      <c r="P173" s="146">
        <v>4770</v>
      </c>
      <c r="Q173" s="146">
        <v>4770</v>
      </c>
      <c r="R173" s="146">
        <v>4770</v>
      </c>
      <c r="S173" s="132">
        <f t="shared" ref="S173" si="248">SUMPRODUCT(J173:M173,O173:R173)</f>
        <v>0</v>
      </c>
      <c r="T173" s="132">
        <f t="shared" ref="T173" si="249">IF(O173&gt;prisgrense,J173*prisgrense,J173*O173)</f>
        <v>0</v>
      </c>
      <c r="U173" s="132">
        <f t="shared" ref="U173" si="250">IF(P173&gt;prisgrense,K173*prisgrense,K173*P173)</f>
        <v>0</v>
      </c>
      <c r="V173" s="132">
        <f t="shared" ref="V173" si="251">IF(Q173&gt;prisgrense,L173*prisgrense,L173*Q173)</f>
        <v>0</v>
      </c>
      <c r="W173" s="132">
        <f t="shared" ref="W173" si="252">IF(R173&gt;prisgrense,M173*prisgrense,M173*R173)</f>
        <v>0</v>
      </c>
      <c r="X173" s="132">
        <f t="shared" ref="X173" si="253">SUM(T173:W173)</f>
        <v>0</v>
      </c>
      <c r="Y173" s="104" t="s">
        <v>995</v>
      </c>
      <c r="Z173" s="393">
        <v>3</v>
      </c>
      <c r="AC173" s="521"/>
    </row>
    <row r="174" spans="1:29 16384:16384" ht="12.75" customHeight="1" outlineLevel="2" x14ac:dyDescent="0.2">
      <c r="A174" s="495">
        <v>3</v>
      </c>
      <c r="B174" s="127">
        <v>5</v>
      </c>
      <c r="C174" s="156">
        <v>7</v>
      </c>
      <c r="D174" s="129" t="s">
        <v>996</v>
      </c>
      <c r="E174" s="184" t="s">
        <v>997</v>
      </c>
      <c r="F174" s="135" t="s">
        <v>151</v>
      </c>
      <c r="G174" s="135"/>
      <c r="H174" s="136" t="s">
        <v>8</v>
      </c>
      <c r="I174" s="134" t="s">
        <v>68</v>
      </c>
      <c r="J174" s="134"/>
      <c r="K174" s="134"/>
      <c r="L174" s="134"/>
      <c r="M174" s="177"/>
      <c r="N174" s="302">
        <f t="shared" ref="N174" si="254">SUM(J174:M174)</f>
        <v>0</v>
      </c>
      <c r="O174" s="146">
        <v>4770</v>
      </c>
      <c r="P174" s="146">
        <v>4770</v>
      </c>
      <c r="Q174" s="622">
        <v>4770</v>
      </c>
      <c r="R174" s="146">
        <v>4770</v>
      </c>
      <c r="S174" s="132">
        <f t="shared" ref="S174" si="255">SUMPRODUCT(J174:M174,O174:R174)</f>
        <v>0</v>
      </c>
      <c r="T174" s="132">
        <f t="shared" ref="T174" si="256">IF(O174&gt;prisgrense,J174*prisgrense,J174*O174)</f>
        <v>0</v>
      </c>
      <c r="U174" s="132">
        <f t="shared" ref="U174" si="257">IF(P174&gt;prisgrense,K174*prisgrense,K174*P174)</f>
        <v>0</v>
      </c>
      <c r="V174" s="132">
        <f t="shared" ref="V174" si="258">IF(Q174&gt;prisgrense,L174*prisgrense,L174*Q174)</f>
        <v>0</v>
      </c>
      <c r="W174" s="132">
        <f t="shared" ref="W174" si="259">IF(R174&gt;prisgrense,M174*prisgrense,M174*R174)</f>
        <v>0</v>
      </c>
      <c r="X174" s="132">
        <f t="shared" ref="X174" si="260">SUM(T174:W174)</f>
        <v>0</v>
      </c>
      <c r="Y174" s="104" t="s">
        <v>982</v>
      </c>
      <c r="AC174" s="521"/>
    </row>
    <row r="175" spans="1:29 16384:16384" ht="12.75" customHeight="1" outlineLevel="2" x14ac:dyDescent="0.2">
      <c r="A175" s="495">
        <v>3</v>
      </c>
      <c r="B175" s="127">
        <v>6</v>
      </c>
      <c r="C175" s="129" t="s">
        <v>236</v>
      </c>
      <c r="D175" s="129" t="s">
        <v>343</v>
      </c>
      <c r="E175" s="184">
        <v>3960</v>
      </c>
      <c r="F175" s="135" t="s">
        <v>108</v>
      </c>
      <c r="G175" s="135" t="s">
        <v>174</v>
      </c>
      <c r="H175" s="136" t="s">
        <v>8</v>
      </c>
      <c r="I175" s="134" t="s">
        <v>68</v>
      </c>
      <c r="J175" s="134"/>
      <c r="K175" s="134"/>
      <c r="L175" s="134"/>
      <c r="M175" s="177"/>
      <c r="N175" s="302">
        <f t="shared" si="85"/>
        <v>0</v>
      </c>
      <c r="O175" s="146">
        <v>3787</v>
      </c>
      <c r="P175" s="146">
        <v>3787</v>
      </c>
      <c r="Q175" s="622">
        <v>3787</v>
      </c>
      <c r="R175" s="146">
        <v>3677</v>
      </c>
      <c r="S175" s="132">
        <f t="shared" ref="S175:S183" si="261">SUMPRODUCT(J175:M175,O175:R175)</f>
        <v>0</v>
      </c>
      <c r="T175" s="132">
        <f t="shared" ref="T175:W183" si="262">IF(O175&gt;prisgrense,J175*prisgrense,J175*O175)</f>
        <v>0</v>
      </c>
      <c r="U175" s="132">
        <f t="shared" si="262"/>
        <v>0</v>
      </c>
      <c r="V175" s="132">
        <f t="shared" si="262"/>
        <v>0</v>
      </c>
      <c r="W175" s="132">
        <f t="shared" si="262"/>
        <v>0</v>
      </c>
      <c r="X175" s="132">
        <f t="shared" ref="X175:X183" si="263">SUM(T175:W175)</f>
        <v>0</v>
      </c>
      <c r="Y175" s="104"/>
      <c r="AC175" s="521"/>
    </row>
    <row r="176" spans="1:29 16384:16384" ht="12.75" customHeight="1" outlineLevel="2" x14ac:dyDescent="0.2">
      <c r="A176" s="495">
        <v>3</v>
      </c>
      <c r="B176" s="127">
        <v>8</v>
      </c>
      <c r="C176" s="156" t="s">
        <v>142</v>
      </c>
      <c r="D176" s="129" t="s">
        <v>344</v>
      </c>
      <c r="E176" s="184" t="s">
        <v>345</v>
      </c>
      <c r="F176" s="135" t="s">
        <v>792</v>
      </c>
      <c r="G176" s="135" t="s">
        <v>104</v>
      </c>
      <c r="H176" s="136" t="s">
        <v>8</v>
      </c>
      <c r="I176" s="134" t="s">
        <v>68</v>
      </c>
      <c r="J176" s="134"/>
      <c r="K176" s="134"/>
      <c r="L176" s="134"/>
      <c r="M176" s="177"/>
      <c r="N176" s="302">
        <f t="shared" si="85"/>
        <v>0</v>
      </c>
      <c r="O176" s="146">
        <v>5672</v>
      </c>
      <c r="P176" s="146">
        <v>5672</v>
      </c>
      <c r="Q176" s="622">
        <v>5672</v>
      </c>
      <c r="R176" s="146">
        <v>5507</v>
      </c>
      <c r="S176" s="132">
        <f t="shared" si="261"/>
        <v>0</v>
      </c>
      <c r="T176" s="132">
        <f t="shared" si="262"/>
        <v>0</v>
      </c>
      <c r="U176" s="132">
        <f t="shared" si="262"/>
        <v>0</v>
      </c>
      <c r="V176" s="132">
        <f t="shared" si="262"/>
        <v>0</v>
      </c>
      <c r="W176" s="132">
        <f t="shared" si="262"/>
        <v>0</v>
      </c>
      <c r="X176" s="132">
        <f t="shared" si="263"/>
        <v>0</v>
      </c>
      <c r="Y176" s="104"/>
      <c r="AC176" s="521"/>
    </row>
    <row r="177" spans="1:29 16384:16384" s="152" customFormat="1" ht="12.75" customHeight="1" outlineLevel="2" x14ac:dyDescent="0.2">
      <c r="A177" s="495">
        <v>3</v>
      </c>
      <c r="B177" s="150">
        <v>9</v>
      </c>
      <c r="C177" s="129" t="s">
        <v>829</v>
      </c>
      <c r="D177" s="129" t="s">
        <v>828</v>
      </c>
      <c r="E177" s="184"/>
      <c r="F177" s="130" t="s">
        <v>108</v>
      </c>
      <c r="G177" s="143"/>
      <c r="H177" s="143" t="s">
        <v>8</v>
      </c>
      <c r="I177" s="129" t="s">
        <v>68</v>
      </c>
      <c r="J177" s="129">
        <v>2</v>
      </c>
      <c r="K177" s="129"/>
      <c r="L177" s="129"/>
      <c r="M177" s="141"/>
      <c r="N177" s="302">
        <f t="shared" ref="N177" si="264">SUM(J177:M177)</f>
        <v>2</v>
      </c>
      <c r="O177" s="146">
        <v>4870</v>
      </c>
      <c r="P177" s="146">
        <v>4870</v>
      </c>
      <c r="Q177" s="622">
        <v>4870</v>
      </c>
      <c r="R177" s="146">
        <v>4728</v>
      </c>
      <c r="S177" s="132">
        <f t="shared" ref="S177" si="265">SUMPRODUCT(J177:M177,O177:R177)</f>
        <v>9740</v>
      </c>
      <c r="T177" s="132">
        <f t="shared" ref="T177" si="266">IF(O177&gt;prisgrense,J177*prisgrense,J177*O177)</f>
        <v>9664</v>
      </c>
      <c r="U177" s="132">
        <f t="shared" ref="U177" si="267">IF(P177&gt;prisgrense,K177*prisgrense,K177*P177)</f>
        <v>0</v>
      </c>
      <c r="V177" s="132">
        <f t="shared" ref="V177" si="268">IF(Q177&gt;prisgrense,L177*prisgrense,L177*Q177)</f>
        <v>0</v>
      </c>
      <c r="W177" s="132">
        <f t="shared" ref="W177" si="269">IF(R177&gt;prisgrense,M177*prisgrense,M177*R177)</f>
        <v>0</v>
      </c>
      <c r="X177" s="132">
        <f t="shared" ref="X177" si="270">SUM(T177:W177)</f>
        <v>9664</v>
      </c>
      <c r="Y177" s="152" t="s">
        <v>848</v>
      </c>
      <c r="Z177" s="395"/>
      <c r="AC177" s="559"/>
    </row>
    <row r="178" spans="1:29 16384:16384" ht="12.75" customHeight="1" outlineLevel="2" x14ac:dyDescent="0.2">
      <c r="A178" s="495">
        <v>3</v>
      </c>
      <c r="B178" s="127">
        <v>10</v>
      </c>
      <c r="C178" s="129" t="s">
        <v>635</v>
      </c>
      <c r="D178" s="129" t="s">
        <v>638</v>
      </c>
      <c r="E178" s="184">
        <v>11080</v>
      </c>
      <c r="F178" s="135" t="s">
        <v>108</v>
      </c>
      <c r="G178" s="135" t="s">
        <v>174</v>
      </c>
      <c r="H178" s="136" t="s">
        <v>8</v>
      </c>
      <c r="I178" s="134" t="s">
        <v>68</v>
      </c>
      <c r="J178" s="134"/>
      <c r="K178" s="134"/>
      <c r="L178" s="134"/>
      <c r="M178" s="177"/>
      <c r="N178" s="302">
        <f t="shared" ref="N178" si="271">SUM(J178:M178)</f>
        <v>0</v>
      </c>
      <c r="O178" s="146">
        <v>3246</v>
      </c>
      <c r="P178" s="146">
        <v>3246</v>
      </c>
      <c r="Q178" s="622">
        <v>3246</v>
      </c>
      <c r="R178" s="146">
        <v>3151</v>
      </c>
      <c r="S178" s="132">
        <f t="shared" ref="S178" si="272">SUMPRODUCT(J178:M178,O178:R178)</f>
        <v>0</v>
      </c>
      <c r="T178" s="132">
        <f t="shared" ref="T178" si="273">IF(O178&gt;prisgrense,J178*prisgrense,J178*O178)</f>
        <v>0</v>
      </c>
      <c r="U178" s="132">
        <f t="shared" ref="U178" si="274">IF(P178&gt;prisgrense,K178*prisgrense,K178*P178)</f>
        <v>0</v>
      </c>
      <c r="V178" s="132">
        <f t="shared" ref="V178" si="275">IF(Q178&gt;prisgrense,L178*prisgrense,L178*Q178)</f>
        <v>0</v>
      </c>
      <c r="W178" s="132">
        <f t="shared" ref="W178" si="276">IF(R178&gt;prisgrense,M178*prisgrense,M178*R178)</f>
        <v>0</v>
      </c>
      <c r="X178" s="132">
        <f t="shared" ref="X178" si="277">SUM(T178:W178)</f>
        <v>0</v>
      </c>
      <c r="Y178" s="104" t="s">
        <v>637</v>
      </c>
      <c r="AC178" s="521"/>
    </row>
    <row r="179" spans="1:29 16384:16384" ht="12.75" customHeight="1" outlineLevel="2" x14ac:dyDescent="0.2">
      <c r="A179" s="495">
        <v>3</v>
      </c>
      <c r="B179" s="127">
        <v>11</v>
      </c>
      <c r="C179" s="129" t="s">
        <v>346</v>
      </c>
      <c r="D179" s="129" t="s">
        <v>347</v>
      </c>
      <c r="E179" s="184">
        <v>3033</v>
      </c>
      <c r="F179" s="135" t="s">
        <v>108</v>
      </c>
      <c r="G179" s="135" t="s">
        <v>174</v>
      </c>
      <c r="H179" s="136" t="s">
        <v>8</v>
      </c>
      <c r="I179" s="134" t="s">
        <v>68</v>
      </c>
      <c r="J179" s="134"/>
      <c r="K179" s="134"/>
      <c r="L179" s="134"/>
      <c r="M179" s="177"/>
      <c r="N179" s="302">
        <f t="shared" si="85"/>
        <v>0</v>
      </c>
      <c r="O179" s="146">
        <v>4870</v>
      </c>
      <c r="P179" s="146">
        <v>4870</v>
      </c>
      <c r="Q179" s="622">
        <v>4870</v>
      </c>
      <c r="R179" s="146">
        <v>4728</v>
      </c>
      <c r="S179" s="132">
        <f t="shared" si="261"/>
        <v>0</v>
      </c>
      <c r="T179" s="132">
        <f t="shared" si="262"/>
        <v>0</v>
      </c>
      <c r="U179" s="132">
        <f t="shared" si="262"/>
        <v>0</v>
      </c>
      <c r="V179" s="132">
        <f t="shared" si="262"/>
        <v>0</v>
      </c>
      <c r="W179" s="132">
        <f t="shared" si="262"/>
        <v>0</v>
      </c>
      <c r="X179" s="132">
        <f t="shared" si="263"/>
        <v>0</v>
      </c>
      <c r="Y179" s="104"/>
      <c r="AC179" s="521"/>
    </row>
    <row r="180" spans="1:29 16384:16384" ht="12.75" customHeight="1" outlineLevel="2" x14ac:dyDescent="0.2">
      <c r="A180" s="495">
        <v>3</v>
      </c>
      <c r="B180" s="127">
        <v>12</v>
      </c>
      <c r="C180" s="129" t="s">
        <v>871</v>
      </c>
      <c r="D180" s="129" t="s">
        <v>918</v>
      </c>
      <c r="E180" s="184"/>
      <c r="F180" s="135" t="s">
        <v>109</v>
      </c>
      <c r="G180" s="135" t="s">
        <v>291</v>
      </c>
      <c r="H180" s="136" t="s">
        <v>8</v>
      </c>
      <c r="I180" s="134" t="s">
        <v>68</v>
      </c>
      <c r="J180" s="134">
        <v>656</v>
      </c>
      <c r="K180" s="134"/>
      <c r="L180" s="134"/>
      <c r="M180" s="177"/>
      <c r="N180" s="302">
        <f t="shared" ref="N180" si="278">SUM(J180:M180)</f>
        <v>656</v>
      </c>
      <c r="O180" s="146">
        <v>3895</v>
      </c>
      <c r="P180" s="146">
        <v>3895</v>
      </c>
      <c r="Q180" s="622">
        <v>3895</v>
      </c>
      <c r="R180" s="146">
        <v>3782</v>
      </c>
      <c r="S180" s="132">
        <f t="shared" ref="S180" si="279">SUMPRODUCT(J180:M180,O180:R180)</f>
        <v>2555120</v>
      </c>
      <c r="T180" s="132">
        <f t="shared" ref="T180" si="280">IF(O180&gt;prisgrense,J180*prisgrense,J180*O180)</f>
        <v>2555120</v>
      </c>
      <c r="U180" s="132">
        <f t="shared" ref="U180" si="281">IF(P180&gt;prisgrense,K180*prisgrense,K180*P180)</f>
        <v>0</v>
      </c>
      <c r="V180" s="132">
        <f t="shared" ref="V180" si="282">IF(Q180&gt;prisgrense,L180*prisgrense,L180*Q180)</f>
        <v>0</v>
      </c>
      <c r="W180" s="132">
        <f t="shared" ref="W180" si="283">IF(R180&gt;prisgrense,M180*prisgrense,M180*R180)</f>
        <v>0</v>
      </c>
      <c r="X180" s="132">
        <f t="shared" ref="X180" si="284">SUM(T180:W180)</f>
        <v>2555120</v>
      </c>
      <c r="Y180" s="104" t="s">
        <v>920</v>
      </c>
      <c r="AC180" s="521"/>
    </row>
    <row r="181" spans="1:29 16384:16384" ht="12.75" customHeight="1" outlineLevel="2" x14ac:dyDescent="0.2">
      <c r="A181" s="495">
        <v>3</v>
      </c>
      <c r="B181" s="127">
        <v>13</v>
      </c>
      <c r="C181" s="129" t="s">
        <v>871</v>
      </c>
      <c r="D181" s="129" t="s">
        <v>888</v>
      </c>
      <c r="E181" s="184" t="s">
        <v>872</v>
      </c>
      <c r="F181" s="130" t="s">
        <v>109</v>
      </c>
      <c r="G181" s="143" t="s">
        <v>291</v>
      </c>
      <c r="H181" s="133" t="s">
        <v>8</v>
      </c>
      <c r="I181" s="134" t="s">
        <v>68</v>
      </c>
      <c r="J181" s="129">
        <v>141</v>
      </c>
      <c r="K181" s="134"/>
      <c r="L181" s="134"/>
      <c r="M181" s="177"/>
      <c r="N181" s="302">
        <f t="shared" si="85"/>
        <v>141</v>
      </c>
      <c r="O181" s="146">
        <v>4328</v>
      </c>
      <c r="P181" s="146">
        <v>4328</v>
      </c>
      <c r="Q181" s="622">
        <v>4328</v>
      </c>
      <c r="R181" s="146">
        <v>4202</v>
      </c>
      <c r="S181" s="132">
        <f t="shared" ref="S181" si="285">SUMPRODUCT(J181:M181,O181:R181)</f>
        <v>610248</v>
      </c>
      <c r="T181" s="132">
        <f t="shared" ref="T181" si="286">IF(O181&gt;prisgrense,J181*prisgrense,J181*O181)</f>
        <v>610248</v>
      </c>
      <c r="U181" s="132">
        <f t="shared" ref="U181" si="287">IF(P181&gt;prisgrense,K181*prisgrense,K181*P181)</f>
        <v>0</v>
      </c>
      <c r="V181" s="132">
        <f t="shared" ref="V181" si="288">IF(Q181&gt;prisgrense,L181*prisgrense,L181*Q181)</f>
        <v>0</v>
      </c>
      <c r="W181" s="132">
        <f t="shared" ref="W181" si="289">IF(R181&gt;prisgrense,M181*prisgrense,M181*R181)</f>
        <v>0</v>
      </c>
      <c r="X181" s="132">
        <f t="shared" ref="X181" si="290">SUM(T181:W181)</f>
        <v>610248</v>
      </c>
      <c r="Y181" s="104" t="s">
        <v>873</v>
      </c>
      <c r="AC181" s="521"/>
    </row>
    <row r="182" spans="1:29 16384:16384" ht="12.75" customHeight="1" outlineLevel="2" x14ac:dyDescent="0.2">
      <c r="A182" s="495">
        <v>3</v>
      </c>
      <c r="B182" s="127">
        <v>14</v>
      </c>
      <c r="C182" s="129" t="s">
        <v>352</v>
      </c>
      <c r="D182" s="129" t="s">
        <v>110</v>
      </c>
      <c r="E182" s="184" t="s">
        <v>353</v>
      </c>
      <c r="F182" s="135" t="s">
        <v>792</v>
      </c>
      <c r="G182" s="143" t="s">
        <v>104</v>
      </c>
      <c r="H182" s="133" t="s">
        <v>8</v>
      </c>
      <c r="I182" s="134" t="s">
        <v>68</v>
      </c>
      <c r="J182" s="134">
        <v>2</v>
      </c>
      <c r="K182" s="134"/>
      <c r="L182" s="134"/>
      <c r="M182" s="177"/>
      <c r="N182" s="302">
        <f t="shared" si="85"/>
        <v>2</v>
      </c>
      <c r="O182" s="146">
        <v>6106</v>
      </c>
      <c r="P182" s="146">
        <v>6106</v>
      </c>
      <c r="Q182" s="622">
        <v>6106</v>
      </c>
      <c r="R182" s="146">
        <v>5928</v>
      </c>
      <c r="S182" s="132">
        <f t="shared" si="261"/>
        <v>12212</v>
      </c>
      <c r="T182" s="132">
        <f t="shared" si="262"/>
        <v>9664</v>
      </c>
      <c r="U182" s="132">
        <f t="shared" si="262"/>
        <v>0</v>
      </c>
      <c r="V182" s="132">
        <f t="shared" si="262"/>
        <v>0</v>
      </c>
      <c r="W182" s="132">
        <f t="shared" si="262"/>
        <v>0</v>
      </c>
      <c r="X182" s="132">
        <f t="shared" si="263"/>
        <v>9664</v>
      </c>
      <c r="Y182" s="104"/>
      <c r="AC182" s="521"/>
    </row>
    <row r="183" spans="1:29 16384:16384" ht="12.75" customHeight="1" outlineLevel="2" x14ac:dyDescent="0.2">
      <c r="A183" s="495">
        <v>3</v>
      </c>
      <c r="B183" s="127">
        <v>14</v>
      </c>
      <c r="C183" s="129" t="s">
        <v>352</v>
      </c>
      <c r="D183" s="173" t="s">
        <v>354</v>
      </c>
      <c r="E183" s="184">
        <v>1010907</v>
      </c>
      <c r="F183" s="135" t="s">
        <v>792</v>
      </c>
      <c r="G183" s="135" t="s">
        <v>104</v>
      </c>
      <c r="H183" s="136" t="s">
        <v>8</v>
      </c>
      <c r="I183" s="134" t="s">
        <v>68</v>
      </c>
      <c r="J183" s="134">
        <v>0</v>
      </c>
      <c r="K183" s="134"/>
      <c r="L183" s="134"/>
      <c r="M183" s="177"/>
      <c r="N183" s="302">
        <f t="shared" si="85"/>
        <v>0</v>
      </c>
      <c r="O183" s="146">
        <v>6106</v>
      </c>
      <c r="P183" s="146">
        <v>6106</v>
      </c>
      <c r="Q183" s="622">
        <v>6106</v>
      </c>
      <c r="R183" s="146">
        <v>5928</v>
      </c>
      <c r="S183" s="132">
        <f t="shared" si="261"/>
        <v>0</v>
      </c>
      <c r="T183" s="132">
        <f t="shared" si="262"/>
        <v>0</v>
      </c>
      <c r="U183" s="132">
        <f t="shared" si="262"/>
        <v>0</v>
      </c>
      <c r="V183" s="132">
        <f t="shared" si="262"/>
        <v>0</v>
      </c>
      <c r="W183" s="132">
        <f t="shared" si="262"/>
        <v>0</v>
      </c>
      <c r="X183" s="132">
        <f t="shared" si="263"/>
        <v>0</v>
      </c>
      <c r="Y183" s="104"/>
      <c r="AC183" s="521"/>
    </row>
    <row r="184" spans="1:29 16384:16384" ht="12.75" customHeight="1" outlineLevel="1" x14ac:dyDescent="0.2">
      <c r="A184" s="498" t="s">
        <v>564</v>
      </c>
      <c r="B184" s="166"/>
      <c r="C184" s="154"/>
      <c r="D184" s="169" t="s">
        <v>342</v>
      </c>
      <c r="E184" s="320"/>
      <c r="F184" s="170"/>
      <c r="G184" s="170"/>
      <c r="H184" s="171"/>
      <c r="I184" s="172"/>
      <c r="J184" s="172">
        <f>SUBTOTAL(9,J169:J183)</f>
        <v>801</v>
      </c>
      <c r="K184" s="172">
        <f>SUBTOTAL(9,K169:K183)</f>
        <v>0</v>
      </c>
      <c r="L184" s="172">
        <f>SUBTOTAL(9,L169:L183)</f>
        <v>0</v>
      </c>
      <c r="M184" s="172">
        <f>SUBTOTAL(9,M169:M183)</f>
        <v>0</v>
      </c>
      <c r="N184" s="348">
        <f>SUBTOTAL(9,N169:N183)</f>
        <v>801</v>
      </c>
      <c r="O184" s="154"/>
      <c r="P184" s="172"/>
      <c r="Q184" s="154"/>
      <c r="R184" s="154"/>
      <c r="S184" s="400">
        <f t="shared" ref="S184:X184" si="291">SUBTOTAL(9,S169:S183)</f>
        <v>3187320</v>
      </c>
      <c r="T184" s="400">
        <f t="shared" si="291"/>
        <v>3184696</v>
      </c>
      <c r="U184" s="400">
        <f t="shared" si="291"/>
        <v>0</v>
      </c>
      <c r="V184" s="400">
        <f t="shared" si="291"/>
        <v>0</v>
      </c>
      <c r="W184" s="400">
        <f t="shared" si="291"/>
        <v>0</v>
      </c>
      <c r="X184" s="400">
        <f t="shared" si="291"/>
        <v>3184696</v>
      </c>
      <c r="Y184" s="104"/>
      <c r="AC184" s="521"/>
      <c r="XFD184" s="104">
        <f>SUBTOTAL(9,XFD169:XFD183)</f>
        <v>0</v>
      </c>
    </row>
    <row r="185" spans="1:29 16384:16384" ht="12.75" customHeight="1" outlineLevel="1" x14ac:dyDescent="0.2">
      <c r="A185" s="493"/>
      <c r="B185" s="166"/>
      <c r="C185" s="154"/>
      <c r="D185" s="169"/>
      <c r="E185" s="320"/>
      <c r="F185" s="170"/>
      <c r="G185" s="170"/>
      <c r="H185" s="171"/>
      <c r="I185" s="172"/>
      <c r="J185" s="172"/>
      <c r="K185" s="172"/>
      <c r="L185" s="172"/>
      <c r="M185" s="172"/>
      <c r="N185" s="348"/>
      <c r="O185" s="155"/>
      <c r="P185" s="155"/>
      <c r="Q185" s="155"/>
      <c r="R185" s="155"/>
      <c r="Y185" s="104"/>
      <c r="AC185" s="521"/>
    </row>
    <row r="186" spans="1:29 16384:16384" s="126" customFormat="1" ht="12.75" customHeight="1" outlineLevel="2" x14ac:dyDescent="0.2">
      <c r="A186" s="493">
        <v>4</v>
      </c>
      <c r="B186" s="124"/>
      <c r="C186" s="125" t="s">
        <v>355</v>
      </c>
      <c r="D186" s="168" t="s">
        <v>356</v>
      </c>
      <c r="E186" s="355"/>
      <c r="F186" s="174"/>
      <c r="G186" s="174"/>
      <c r="H186" s="174"/>
      <c r="I186" s="176"/>
      <c r="J186" s="176"/>
      <c r="K186" s="176"/>
      <c r="L186" s="176"/>
      <c r="M186" s="176"/>
      <c r="N186" s="347"/>
      <c r="O186" s="175"/>
      <c r="P186" s="175"/>
      <c r="Q186" s="175"/>
      <c r="R186" s="175"/>
      <c r="Z186" s="474"/>
      <c r="AC186" s="521"/>
    </row>
    <row r="187" spans="1:29 16384:16384" ht="12.75" customHeight="1" outlineLevel="2" x14ac:dyDescent="0.2">
      <c r="A187" s="495">
        <v>4</v>
      </c>
      <c r="B187" s="127">
        <v>1</v>
      </c>
      <c r="C187" s="129" t="s">
        <v>641</v>
      </c>
      <c r="D187" s="129" t="s">
        <v>642</v>
      </c>
      <c r="E187" s="184">
        <v>11120</v>
      </c>
      <c r="F187" s="135" t="s">
        <v>108</v>
      </c>
      <c r="G187" s="135" t="s">
        <v>174</v>
      </c>
      <c r="H187" s="136" t="s">
        <v>8</v>
      </c>
      <c r="I187" s="134" t="s">
        <v>68</v>
      </c>
      <c r="J187" s="134"/>
      <c r="K187" s="134"/>
      <c r="L187" s="134"/>
      <c r="M187" s="177"/>
      <c r="N187" s="302">
        <f t="shared" ref="N187" si="292">SUM(J187:M187)</f>
        <v>0</v>
      </c>
      <c r="O187" s="146">
        <v>1623</v>
      </c>
      <c r="P187" s="146">
        <v>1623</v>
      </c>
      <c r="Q187" s="622">
        <v>1623</v>
      </c>
      <c r="R187" s="146">
        <v>1576</v>
      </c>
      <c r="S187" s="132">
        <f t="shared" ref="S187" si="293">SUMPRODUCT(J187:M187,O187:R187)</f>
        <v>0</v>
      </c>
      <c r="T187" s="132">
        <f t="shared" ref="T187" si="294">IF(O187&gt;prisgrense,J187*prisgrense,J187*O187)</f>
        <v>0</v>
      </c>
      <c r="U187" s="132">
        <f t="shared" ref="U187" si="295">IF(P187&gt;prisgrense,K187*prisgrense,K187*P187)</f>
        <v>0</v>
      </c>
      <c r="V187" s="132">
        <f t="shared" ref="V187" si="296">IF(Q187&gt;prisgrense,L187*prisgrense,L187*Q187)</f>
        <v>0</v>
      </c>
      <c r="W187" s="132">
        <f t="shared" ref="W187" si="297">IF(R187&gt;prisgrense,M187*prisgrense,M187*R187)</f>
        <v>0</v>
      </c>
      <c r="X187" s="132">
        <f t="shared" ref="X187" si="298">SUM(T187:W187)</f>
        <v>0</v>
      </c>
      <c r="Y187" s="104" t="s">
        <v>632</v>
      </c>
      <c r="AC187" s="521"/>
    </row>
    <row r="188" spans="1:29 16384:16384" ht="12.75" customHeight="1" outlineLevel="2" x14ac:dyDescent="0.2">
      <c r="A188" s="495">
        <v>4</v>
      </c>
      <c r="B188" s="127">
        <v>2</v>
      </c>
      <c r="C188" s="129" t="s">
        <v>147</v>
      </c>
      <c r="D188" s="129" t="s">
        <v>283</v>
      </c>
      <c r="E188" s="184" t="s">
        <v>284</v>
      </c>
      <c r="F188" s="130" t="s">
        <v>106</v>
      </c>
      <c r="G188" s="143" t="s">
        <v>107</v>
      </c>
      <c r="H188" s="136" t="s">
        <v>8</v>
      </c>
      <c r="I188" s="134" t="s">
        <v>168</v>
      </c>
      <c r="J188" s="134"/>
      <c r="K188" s="134"/>
      <c r="L188" s="134"/>
      <c r="M188" s="177"/>
      <c r="N188" s="302">
        <f t="shared" si="85"/>
        <v>0</v>
      </c>
      <c r="O188" s="144">
        <v>2706</v>
      </c>
      <c r="P188" s="144">
        <v>2706</v>
      </c>
      <c r="Q188" s="618">
        <v>2706</v>
      </c>
      <c r="R188" s="144">
        <v>2627</v>
      </c>
      <c r="S188" s="132">
        <f t="shared" ref="S188:S209" si="299">SUMPRODUCT(J188:M188,O188:R188)</f>
        <v>0</v>
      </c>
      <c r="T188" s="132">
        <f t="shared" ref="T188:W209" si="300">IF(O188&gt;prisgrense,J188*prisgrense,J188*O188)</f>
        <v>0</v>
      </c>
      <c r="U188" s="132">
        <f t="shared" si="300"/>
        <v>0</v>
      </c>
      <c r="V188" s="132">
        <f t="shared" si="300"/>
        <v>0</v>
      </c>
      <c r="W188" s="132">
        <f t="shared" si="300"/>
        <v>0</v>
      </c>
      <c r="X188" s="132">
        <f t="shared" ref="X188:X209" si="301">SUM(T188:W188)</f>
        <v>0</v>
      </c>
      <c r="Y188" s="104"/>
      <c r="AC188" s="521"/>
    </row>
    <row r="189" spans="1:29 16384:16384" ht="12.75" customHeight="1" outlineLevel="2" x14ac:dyDescent="0.2">
      <c r="A189" s="495">
        <v>4</v>
      </c>
      <c r="B189" s="127">
        <v>3</v>
      </c>
      <c r="C189" s="156">
        <v>5</v>
      </c>
      <c r="D189" s="129" t="s">
        <v>921</v>
      </c>
      <c r="E189" s="184"/>
      <c r="F189" s="135" t="s">
        <v>151</v>
      </c>
      <c r="G189" s="135"/>
      <c r="H189" s="136" t="s">
        <v>8</v>
      </c>
      <c r="I189" s="134" t="s">
        <v>68</v>
      </c>
      <c r="J189" s="134"/>
      <c r="K189" s="134"/>
      <c r="L189" s="134"/>
      <c r="M189" s="177"/>
      <c r="N189" s="302">
        <f t="shared" ref="N189" si="302">SUM(J189:M189)</f>
        <v>0</v>
      </c>
      <c r="O189" s="146">
        <v>4004</v>
      </c>
      <c r="P189" s="146">
        <v>4004</v>
      </c>
      <c r="Q189" s="622">
        <v>4004</v>
      </c>
      <c r="R189" s="146">
        <v>4770</v>
      </c>
      <c r="S189" s="132">
        <f t="shared" ref="S189" si="303">SUMPRODUCT(J189:M189,O189:R189)</f>
        <v>0</v>
      </c>
      <c r="T189" s="132">
        <f t="shared" ref="T189" si="304">IF(O189&gt;prisgrense,J189*prisgrense,J189*O189)</f>
        <v>0</v>
      </c>
      <c r="U189" s="132">
        <f t="shared" ref="U189" si="305">IF(P189&gt;prisgrense,K189*prisgrense,K189*P189)</f>
        <v>0</v>
      </c>
      <c r="V189" s="132">
        <f t="shared" ref="V189" si="306">IF(Q189&gt;prisgrense,L189*prisgrense,L189*Q189)</f>
        <v>0</v>
      </c>
      <c r="W189" s="132">
        <f t="shared" ref="W189" si="307">IF(R189&gt;prisgrense,M189*prisgrense,M189*R189)</f>
        <v>0</v>
      </c>
      <c r="X189" s="132">
        <f t="shared" ref="X189" si="308">SUM(T189:W189)</f>
        <v>0</v>
      </c>
      <c r="Y189" s="104" t="s">
        <v>920</v>
      </c>
      <c r="AC189" s="521"/>
    </row>
    <row r="190" spans="1:29 16384:16384" ht="12.75" customHeight="1" outlineLevel="2" x14ac:dyDescent="0.2">
      <c r="A190" s="495">
        <v>4</v>
      </c>
      <c r="B190" s="127">
        <v>4</v>
      </c>
      <c r="C190" s="129" t="s">
        <v>302</v>
      </c>
      <c r="D190" s="129" t="s">
        <v>309</v>
      </c>
      <c r="E190" s="184" t="s">
        <v>284</v>
      </c>
      <c r="F190" s="130" t="s">
        <v>106</v>
      </c>
      <c r="G190" s="143" t="s">
        <v>107</v>
      </c>
      <c r="H190" s="136" t="s">
        <v>8</v>
      </c>
      <c r="I190" s="134" t="s">
        <v>168</v>
      </c>
      <c r="J190" s="134"/>
      <c r="K190" s="134"/>
      <c r="L190" s="134"/>
      <c r="M190" s="177"/>
      <c r="N190" s="302">
        <f t="shared" si="85"/>
        <v>0</v>
      </c>
      <c r="O190" s="144">
        <v>3030</v>
      </c>
      <c r="P190" s="144">
        <v>3030</v>
      </c>
      <c r="Q190" s="618">
        <v>3030</v>
      </c>
      <c r="R190" s="144">
        <v>2942</v>
      </c>
      <c r="S190" s="132">
        <f t="shared" si="299"/>
        <v>0</v>
      </c>
      <c r="T190" s="132">
        <f t="shared" si="300"/>
        <v>0</v>
      </c>
      <c r="U190" s="132">
        <f t="shared" si="300"/>
        <v>0</v>
      </c>
      <c r="V190" s="132">
        <f t="shared" si="300"/>
        <v>0</v>
      </c>
      <c r="W190" s="132">
        <f t="shared" si="300"/>
        <v>0</v>
      </c>
      <c r="X190" s="132">
        <f t="shared" si="301"/>
        <v>0</v>
      </c>
      <c r="Y190" s="104"/>
      <c r="AC190" s="521"/>
    </row>
    <row r="191" spans="1:29 16384:16384" ht="12.75" customHeight="1" outlineLevel="2" x14ac:dyDescent="0.2">
      <c r="A191" s="495">
        <v>4</v>
      </c>
      <c r="B191" s="127">
        <v>5</v>
      </c>
      <c r="C191" s="129" t="s">
        <v>316</v>
      </c>
      <c r="D191" s="129" t="s">
        <v>322</v>
      </c>
      <c r="E191" s="361" t="s">
        <v>323</v>
      </c>
      <c r="F191" s="130" t="s">
        <v>109</v>
      </c>
      <c r="G191" s="143" t="s">
        <v>291</v>
      </c>
      <c r="H191" s="136" t="s">
        <v>8</v>
      </c>
      <c r="I191" s="134" t="s">
        <v>68</v>
      </c>
      <c r="J191" s="134"/>
      <c r="K191" s="134"/>
      <c r="L191" s="134"/>
      <c r="M191" s="177"/>
      <c r="N191" s="302">
        <f t="shared" si="85"/>
        <v>0</v>
      </c>
      <c r="O191" s="146">
        <v>2380</v>
      </c>
      <c r="P191" s="146">
        <v>2380</v>
      </c>
      <c r="Q191" s="622">
        <v>2380</v>
      </c>
      <c r="R191" s="146">
        <v>2311</v>
      </c>
      <c r="S191" s="132">
        <f t="shared" si="299"/>
        <v>0</v>
      </c>
      <c r="T191" s="132">
        <f t="shared" si="300"/>
        <v>0</v>
      </c>
      <c r="U191" s="132">
        <f t="shared" si="300"/>
        <v>0</v>
      </c>
      <c r="V191" s="132">
        <f t="shared" si="300"/>
        <v>0</v>
      </c>
      <c r="W191" s="132">
        <f t="shared" si="300"/>
        <v>0</v>
      </c>
      <c r="X191" s="132">
        <f t="shared" si="301"/>
        <v>0</v>
      </c>
      <c r="Y191" s="104"/>
      <c r="AC191" s="521"/>
    </row>
    <row r="192" spans="1:29 16384:16384" ht="12.75" customHeight="1" outlineLevel="2" x14ac:dyDescent="0.2">
      <c r="A192" s="495">
        <v>4</v>
      </c>
      <c r="B192" s="127">
        <v>6</v>
      </c>
      <c r="C192" s="129" t="s">
        <v>236</v>
      </c>
      <c r="D192" s="129" t="s">
        <v>242</v>
      </c>
      <c r="E192" s="362">
        <v>3990</v>
      </c>
      <c r="F192" s="135" t="s">
        <v>108</v>
      </c>
      <c r="G192" s="135" t="s">
        <v>174</v>
      </c>
      <c r="H192" s="136" t="s">
        <v>8</v>
      </c>
      <c r="I192" s="134" t="s">
        <v>68</v>
      </c>
      <c r="J192" s="134"/>
      <c r="K192" s="134"/>
      <c r="L192" s="134"/>
      <c r="M192" s="177"/>
      <c r="N192" s="302">
        <f t="shared" si="85"/>
        <v>0</v>
      </c>
      <c r="O192" s="392">
        <v>3787</v>
      </c>
      <c r="P192" s="392">
        <v>3787</v>
      </c>
      <c r="Q192" s="616">
        <v>3787</v>
      </c>
      <c r="R192" s="392">
        <v>3677</v>
      </c>
      <c r="S192" s="132">
        <f t="shared" si="299"/>
        <v>0</v>
      </c>
      <c r="T192" s="132">
        <f t="shared" si="300"/>
        <v>0</v>
      </c>
      <c r="U192" s="132">
        <f t="shared" si="300"/>
        <v>0</v>
      </c>
      <c r="V192" s="132">
        <f t="shared" si="300"/>
        <v>0</v>
      </c>
      <c r="W192" s="132">
        <f t="shared" si="300"/>
        <v>0</v>
      </c>
      <c r="X192" s="132">
        <f t="shared" si="301"/>
        <v>0</v>
      </c>
      <c r="Y192" s="104"/>
      <c r="AC192" s="521"/>
    </row>
    <row r="193" spans="1:29" ht="12.75" customHeight="1" outlineLevel="2" x14ac:dyDescent="0.2">
      <c r="A193" s="495">
        <v>4</v>
      </c>
      <c r="B193" s="127">
        <v>7</v>
      </c>
      <c r="C193" s="156" t="s">
        <v>142</v>
      </c>
      <c r="D193" s="129" t="s">
        <v>197</v>
      </c>
      <c r="E193" s="184">
        <v>1011133</v>
      </c>
      <c r="F193" s="135" t="s">
        <v>792</v>
      </c>
      <c r="G193" s="135" t="s">
        <v>104</v>
      </c>
      <c r="H193" s="136" t="s">
        <v>8</v>
      </c>
      <c r="I193" s="134" t="s">
        <v>68</v>
      </c>
      <c r="J193" s="134"/>
      <c r="K193" s="134"/>
      <c r="L193" s="134"/>
      <c r="M193" s="177"/>
      <c r="N193" s="302">
        <f t="shared" si="85"/>
        <v>0</v>
      </c>
      <c r="O193" s="392">
        <v>4603</v>
      </c>
      <c r="P193" s="392">
        <v>4603</v>
      </c>
      <c r="Q193" s="616">
        <v>4603</v>
      </c>
      <c r="R193" s="392">
        <v>4469</v>
      </c>
      <c r="S193" s="132">
        <f t="shared" si="299"/>
        <v>0</v>
      </c>
      <c r="T193" s="132">
        <f t="shared" si="300"/>
        <v>0</v>
      </c>
      <c r="U193" s="132">
        <f t="shared" si="300"/>
        <v>0</v>
      </c>
      <c r="V193" s="132">
        <f t="shared" si="300"/>
        <v>0</v>
      </c>
      <c r="W193" s="132">
        <f t="shared" si="300"/>
        <v>0</v>
      </c>
      <c r="X193" s="132">
        <f t="shared" si="301"/>
        <v>0</v>
      </c>
      <c r="Y193" s="104"/>
      <c r="AC193" s="521"/>
    </row>
    <row r="194" spans="1:29" ht="12.75" customHeight="1" outlineLevel="2" x14ac:dyDescent="0.2">
      <c r="A194" s="495">
        <v>4</v>
      </c>
      <c r="B194" s="127">
        <v>8</v>
      </c>
      <c r="C194" s="156">
        <v>7</v>
      </c>
      <c r="D194" s="129" t="s">
        <v>923</v>
      </c>
      <c r="E194" s="184"/>
      <c r="F194" s="135" t="s">
        <v>151</v>
      </c>
      <c r="G194" s="135" t="s">
        <v>83</v>
      </c>
      <c r="H194" s="136" t="s">
        <v>8</v>
      </c>
      <c r="I194" s="177" t="s">
        <v>68</v>
      </c>
      <c r="J194" s="177"/>
      <c r="K194" s="177"/>
      <c r="L194" s="134"/>
      <c r="M194" s="177"/>
      <c r="N194" s="302">
        <f t="shared" ref="N194" si="309">SUM(J194:M194)</f>
        <v>0</v>
      </c>
      <c r="O194" s="146">
        <v>4770</v>
      </c>
      <c r="P194" s="146">
        <v>4770</v>
      </c>
      <c r="Q194" s="622">
        <v>4770</v>
      </c>
      <c r="R194" s="146">
        <v>4770</v>
      </c>
      <c r="S194" s="132">
        <f t="shared" ref="S194" si="310">SUMPRODUCT(J194:M194,O194:R194)</f>
        <v>0</v>
      </c>
      <c r="T194" s="132">
        <f t="shared" ref="T194" si="311">IF(O194&gt;prisgrense,J194*prisgrense,J194*O194)</f>
        <v>0</v>
      </c>
      <c r="U194" s="132">
        <f t="shared" ref="U194" si="312">IF(P194&gt;prisgrense,K194*prisgrense,K194*P194)</f>
        <v>0</v>
      </c>
      <c r="V194" s="132">
        <f t="shared" ref="V194" si="313">IF(Q194&gt;prisgrense,L194*prisgrense,L194*Q194)</f>
        <v>0</v>
      </c>
      <c r="W194" s="132">
        <f t="shared" ref="W194" si="314">IF(R194&gt;prisgrense,M194*prisgrense,M194*R194)</f>
        <v>0</v>
      </c>
      <c r="X194" s="132">
        <f t="shared" ref="X194" si="315">SUM(T194:W194)</f>
        <v>0</v>
      </c>
      <c r="Y194" s="104" t="s">
        <v>920</v>
      </c>
      <c r="AC194" s="521"/>
    </row>
    <row r="195" spans="1:29" ht="12.75" customHeight="1" outlineLevel="2" x14ac:dyDescent="0.2">
      <c r="A195" s="495">
        <v>4</v>
      </c>
      <c r="B195" s="127">
        <v>9</v>
      </c>
      <c r="C195" s="129"/>
      <c r="D195" s="129" t="s">
        <v>674</v>
      </c>
      <c r="E195" s="184" t="s">
        <v>675</v>
      </c>
      <c r="F195" s="130" t="s">
        <v>607</v>
      </c>
      <c r="G195" s="135" t="s">
        <v>83</v>
      </c>
      <c r="H195" s="136" t="s">
        <v>8</v>
      </c>
      <c r="I195" s="136" t="s">
        <v>68</v>
      </c>
      <c r="J195" s="136">
        <v>351</v>
      </c>
      <c r="K195" s="135"/>
      <c r="L195" s="135"/>
      <c r="M195" s="137"/>
      <c r="N195" s="302">
        <f t="shared" si="85"/>
        <v>351</v>
      </c>
      <c r="O195" s="146">
        <v>4660</v>
      </c>
      <c r="P195" s="146">
        <v>4660</v>
      </c>
      <c r="Q195" s="146">
        <v>4660</v>
      </c>
      <c r="R195" s="146">
        <v>4660</v>
      </c>
      <c r="S195" s="132">
        <f t="shared" ref="S195" si="316">SUMPRODUCT(J195:M195,O195:R195)</f>
        <v>1635660</v>
      </c>
      <c r="T195" s="132">
        <f t="shared" ref="T195" si="317">IF(O195&gt;prisgrense,J195*prisgrense,J195*O195)</f>
        <v>1635660</v>
      </c>
      <c r="U195" s="132">
        <f t="shared" ref="U195" si="318">IF(P195&gt;prisgrense,K195*prisgrense,K195*P195)</f>
        <v>0</v>
      </c>
      <c r="V195" s="132">
        <f t="shared" ref="V195" si="319">IF(Q195&gt;prisgrense,L195*prisgrense,L195*Q195)</f>
        <v>0</v>
      </c>
      <c r="W195" s="132">
        <f t="shared" ref="W195" si="320">IF(R195&gt;prisgrense,M195*prisgrense,M195*R195)</f>
        <v>0</v>
      </c>
      <c r="X195" s="132">
        <f t="shared" ref="X195" si="321">SUM(T195:W195)</f>
        <v>1635660</v>
      </c>
      <c r="Y195" s="139" t="s">
        <v>1012</v>
      </c>
      <c r="AC195" s="521"/>
    </row>
    <row r="196" spans="1:29" s="152" customFormat="1" ht="12.75" customHeight="1" outlineLevel="2" x14ac:dyDescent="0.2">
      <c r="A196" s="495">
        <v>4</v>
      </c>
      <c r="B196" s="150">
        <v>9</v>
      </c>
      <c r="C196" s="129"/>
      <c r="D196" s="129" t="s">
        <v>1011</v>
      </c>
      <c r="E196" s="184"/>
      <c r="F196" s="130" t="s">
        <v>607</v>
      </c>
      <c r="G196" s="135"/>
      <c r="H196" s="135" t="s">
        <v>8</v>
      </c>
      <c r="I196" s="135" t="s">
        <v>68</v>
      </c>
      <c r="J196" s="135"/>
      <c r="K196" s="135"/>
      <c r="L196" s="135"/>
      <c r="M196" s="137"/>
      <c r="N196" s="302">
        <f t="shared" ref="N196" si="322">SUM(J196:M196)</f>
        <v>0</v>
      </c>
      <c r="O196" s="146">
        <v>4800</v>
      </c>
      <c r="P196" s="146">
        <v>4800</v>
      </c>
      <c r="Q196" s="622">
        <v>4800</v>
      </c>
      <c r="R196" s="146">
        <v>4660</v>
      </c>
      <c r="S196" s="132">
        <f t="shared" ref="S196" si="323">SUMPRODUCT(J196:M196,O196:R196)</f>
        <v>0</v>
      </c>
      <c r="T196" s="132">
        <f t="shared" ref="T196" si="324">IF(O196&gt;prisgrense,J196*prisgrense,J196*O196)</f>
        <v>0</v>
      </c>
      <c r="U196" s="132">
        <f t="shared" ref="U196" si="325">IF(P196&gt;prisgrense,K196*prisgrense,K196*P196)</f>
        <v>0</v>
      </c>
      <c r="V196" s="132">
        <f t="shared" ref="V196" si="326">IF(Q196&gt;prisgrense,L196*prisgrense,L196*Q196)</f>
        <v>0</v>
      </c>
      <c r="W196" s="132">
        <f t="shared" ref="W196" si="327">IF(R196&gt;prisgrense,M196*prisgrense,M196*R196)</f>
        <v>0</v>
      </c>
      <c r="X196" s="132">
        <f t="shared" ref="X196" si="328">SUM(T196:W196)</f>
        <v>0</v>
      </c>
      <c r="Y196" s="157" t="s">
        <v>1013</v>
      </c>
      <c r="Z196" s="395"/>
      <c r="AC196" s="559"/>
    </row>
    <row r="197" spans="1:29" ht="12.75" customHeight="1" outlineLevel="2" x14ac:dyDescent="0.2">
      <c r="A197" s="497">
        <v>4</v>
      </c>
      <c r="B197" s="148">
        <v>10</v>
      </c>
      <c r="C197" s="186" t="s">
        <v>902</v>
      </c>
      <c r="D197" s="128" t="s">
        <v>913</v>
      </c>
      <c r="E197" s="361"/>
      <c r="F197" s="536" t="s">
        <v>792</v>
      </c>
      <c r="G197" s="191"/>
      <c r="H197" s="161" t="s">
        <v>8</v>
      </c>
      <c r="I197" s="140" t="s">
        <v>68</v>
      </c>
      <c r="J197" s="140">
        <v>46</v>
      </c>
      <c r="K197" s="140"/>
      <c r="L197" s="140"/>
      <c r="M197" s="140"/>
      <c r="N197" s="581">
        <f t="shared" ref="N197" si="329">SUM(J197:M197)</f>
        <v>46</v>
      </c>
      <c r="O197" s="392">
        <v>4773</v>
      </c>
      <c r="P197" s="392">
        <v>4773</v>
      </c>
      <c r="Q197" s="616">
        <v>4773</v>
      </c>
      <c r="R197" s="392">
        <v>4634</v>
      </c>
      <c r="S197" s="582">
        <f t="shared" ref="S197" si="330">SUMPRODUCT(J197:M197,O197:R197)</f>
        <v>219558</v>
      </c>
      <c r="T197" s="582">
        <f t="shared" ref="T197" si="331">IF(O197&gt;prisgrense,J197*prisgrense,J197*O197)</f>
        <v>219558</v>
      </c>
      <c r="U197" s="582">
        <f t="shared" ref="U197" si="332">IF(P197&gt;prisgrense,K197*prisgrense,K197*P197)</f>
        <v>0</v>
      </c>
      <c r="V197" s="582">
        <f t="shared" ref="V197" si="333">IF(Q197&gt;prisgrense,L197*prisgrense,L197*Q197)</f>
        <v>0</v>
      </c>
      <c r="W197" s="582">
        <f t="shared" ref="W197" si="334">IF(R197&gt;prisgrense,M197*prisgrense,M197*R197)</f>
        <v>0</v>
      </c>
      <c r="X197" s="582">
        <f t="shared" ref="X197" si="335">SUM(T197:W197)</f>
        <v>219558</v>
      </c>
      <c r="Y197" s="104" t="s">
        <v>911</v>
      </c>
      <c r="AC197" s="521"/>
    </row>
    <row r="198" spans="1:29" ht="12.75" customHeight="1" outlineLevel="2" x14ac:dyDescent="0.2">
      <c r="A198" s="497">
        <v>4</v>
      </c>
      <c r="B198" s="148">
        <v>11</v>
      </c>
      <c r="C198" s="186" t="s">
        <v>902</v>
      </c>
      <c r="D198" s="128" t="s">
        <v>914</v>
      </c>
      <c r="E198" s="361"/>
      <c r="F198" s="536" t="s">
        <v>792</v>
      </c>
      <c r="G198" s="191"/>
      <c r="H198" s="161" t="s">
        <v>8</v>
      </c>
      <c r="I198" s="140" t="s">
        <v>168</v>
      </c>
      <c r="J198" s="140">
        <v>53</v>
      </c>
      <c r="K198" s="140"/>
      <c r="L198" s="140"/>
      <c r="M198" s="140"/>
      <c r="N198" s="581">
        <f t="shared" ref="N198" si="336">SUM(J198:M198)</f>
        <v>53</v>
      </c>
      <c r="O198" s="392">
        <v>4603</v>
      </c>
      <c r="P198" s="392">
        <v>4603</v>
      </c>
      <c r="Q198" s="616">
        <v>4603</v>
      </c>
      <c r="R198" s="392">
        <v>4469</v>
      </c>
      <c r="S198" s="582">
        <f t="shared" ref="S198" si="337">SUMPRODUCT(J198:M198,O198:R198)</f>
        <v>243959</v>
      </c>
      <c r="T198" s="582">
        <f t="shared" ref="T198" si="338">IF(O198&gt;prisgrense,J198*prisgrense,J198*O198)</f>
        <v>243959</v>
      </c>
      <c r="U198" s="582">
        <f t="shared" ref="U198" si="339">IF(P198&gt;prisgrense,K198*prisgrense,K198*P198)</f>
        <v>0</v>
      </c>
      <c r="V198" s="582">
        <f t="shared" ref="V198" si="340">IF(Q198&gt;prisgrense,L198*prisgrense,L198*Q198)</f>
        <v>0</v>
      </c>
      <c r="W198" s="582">
        <f t="shared" ref="W198" si="341">IF(R198&gt;prisgrense,M198*prisgrense,M198*R198)</f>
        <v>0</v>
      </c>
      <c r="X198" s="582">
        <f t="shared" ref="X198" si="342">SUM(T198:W198)</f>
        <v>243959</v>
      </c>
      <c r="Y198" s="104" t="s">
        <v>911</v>
      </c>
      <c r="AC198" s="521"/>
    </row>
    <row r="199" spans="1:29" ht="12.75" customHeight="1" outlineLevel="2" x14ac:dyDescent="0.2">
      <c r="A199" s="497">
        <v>4</v>
      </c>
      <c r="B199" s="148">
        <v>12</v>
      </c>
      <c r="C199" s="186"/>
      <c r="D199" s="128" t="s">
        <v>672</v>
      </c>
      <c r="E199" s="361" t="s">
        <v>673</v>
      </c>
      <c r="F199" s="536" t="s">
        <v>607</v>
      </c>
      <c r="G199" s="191" t="s">
        <v>103</v>
      </c>
      <c r="H199" s="161" t="s">
        <v>8</v>
      </c>
      <c r="I199" s="140" t="s">
        <v>68</v>
      </c>
      <c r="J199" s="140">
        <v>72</v>
      </c>
      <c r="K199" s="140"/>
      <c r="L199" s="128"/>
      <c r="M199" s="128"/>
      <c r="N199" s="581">
        <f t="shared" ref="N199:N266" si="343">SUM(J199:M199)</f>
        <v>72</v>
      </c>
      <c r="O199" s="392">
        <v>4653</v>
      </c>
      <c r="P199" s="392">
        <v>4653</v>
      </c>
      <c r="Q199" s="616">
        <v>4653</v>
      </c>
      <c r="R199" s="392">
        <v>4517</v>
      </c>
      <c r="S199" s="582">
        <f t="shared" ref="S199" si="344">SUMPRODUCT(J199:M199,O199:R199)</f>
        <v>335016</v>
      </c>
      <c r="T199" s="582">
        <f t="shared" ref="T199" si="345">IF(O199&gt;prisgrense,J199*prisgrense,J199*O199)</f>
        <v>335016</v>
      </c>
      <c r="U199" s="582">
        <f t="shared" ref="U199" si="346">IF(P199&gt;prisgrense,K199*prisgrense,K199*P199)</f>
        <v>0</v>
      </c>
      <c r="V199" s="582">
        <f t="shared" ref="V199" si="347">IF(Q199&gt;prisgrense,L199*prisgrense,L199*Q199)</f>
        <v>0</v>
      </c>
      <c r="W199" s="582">
        <f t="shared" ref="W199" si="348">IF(R199&gt;prisgrense,M199*prisgrense,M199*R199)</f>
        <v>0</v>
      </c>
      <c r="X199" s="582">
        <f t="shared" ref="X199" si="349">SUM(T199:W199)</f>
        <v>335016</v>
      </c>
      <c r="Y199" s="104" t="s">
        <v>671</v>
      </c>
      <c r="AC199" s="521"/>
    </row>
    <row r="200" spans="1:29" ht="12.75" customHeight="1" outlineLevel="2" x14ac:dyDescent="0.2">
      <c r="A200" s="497">
        <v>4</v>
      </c>
      <c r="B200" s="148">
        <v>13</v>
      </c>
      <c r="C200" s="186" t="s">
        <v>639</v>
      </c>
      <c r="D200" s="128" t="s">
        <v>640</v>
      </c>
      <c r="E200" s="361">
        <v>111200</v>
      </c>
      <c r="F200" s="536" t="s">
        <v>108</v>
      </c>
      <c r="G200" s="191" t="s">
        <v>174</v>
      </c>
      <c r="H200" s="161" t="s">
        <v>8</v>
      </c>
      <c r="I200" s="140" t="s">
        <v>68</v>
      </c>
      <c r="J200" s="140"/>
      <c r="K200" s="140"/>
      <c r="L200" s="140"/>
      <c r="M200" s="140"/>
      <c r="N200" s="581">
        <f t="shared" ref="N200" si="350">SUM(J200:M200)</f>
        <v>0</v>
      </c>
      <c r="O200" s="392">
        <v>3246</v>
      </c>
      <c r="P200" s="392">
        <v>3246</v>
      </c>
      <c r="Q200" s="616">
        <v>3246</v>
      </c>
      <c r="R200" s="392">
        <v>3151</v>
      </c>
      <c r="S200" s="582">
        <f t="shared" ref="S200" si="351">SUMPRODUCT(J200:M200,O200:R200)</f>
        <v>0</v>
      </c>
      <c r="T200" s="582">
        <f t="shared" ref="T200" si="352">IF(O200&gt;prisgrense,J200*prisgrense,J200*O200)</f>
        <v>0</v>
      </c>
      <c r="U200" s="582">
        <f t="shared" ref="U200" si="353">IF(P200&gt;prisgrense,K200*prisgrense,K200*P200)</f>
        <v>0</v>
      </c>
      <c r="V200" s="582">
        <f t="shared" ref="V200" si="354">IF(Q200&gt;prisgrense,L200*prisgrense,L200*Q200)</f>
        <v>0</v>
      </c>
      <c r="W200" s="582">
        <f t="shared" ref="W200" si="355">IF(R200&gt;prisgrense,M200*prisgrense,M200*R200)</f>
        <v>0</v>
      </c>
      <c r="X200" s="582">
        <f t="shared" ref="X200" si="356">SUM(T200:W200)</f>
        <v>0</v>
      </c>
      <c r="Y200" s="104" t="s">
        <v>632</v>
      </c>
      <c r="AC200" s="521"/>
    </row>
    <row r="201" spans="1:29" ht="12.75" customHeight="1" outlineLevel="2" x14ac:dyDescent="0.2">
      <c r="A201" s="497">
        <v>4</v>
      </c>
      <c r="B201" s="148">
        <v>14</v>
      </c>
      <c r="C201" s="186" t="s">
        <v>867</v>
      </c>
      <c r="D201" s="128" t="s">
        <v>786</v>
      </c>
      <c r="E201" s="361" t="s">
        <v>868</v>
      </c>
      <c r="F201" s="536" t="s">
        <v>109</v>
      </c>
      <c r="G201" s="191" t="s">
        <v>291</v>
      </c>
      <c r="H201" s="161" t="s">
        <v>8</v>
      </c>
      <c r="I201" s="140" t="s">
        <v>68</v>
      </c>
      <c r="J201" s="140">
        <v>36</v>
      </c>
      <c r="K201" s="140"/>
      <c r="L201" s="140"/>
      <c r="M201" s="140"/>
      <c r="N201" s="581">
        <f t="shared" ref="N201" si="357">SUM(J201:M201)</f>
        <v>36</v>
      </c>
      <c r="O201" s="392">
        <v>3462</v>
      </c>
      <c r="P201" s="392">
        <v>3462</v>
      </c>
      <c r="Q201" s="616">
        <v>3462</v>
      </c>
      <c r="R201" s="392">
        <v>3361</v>
      </c>
      <c r="S201" s="582">
        <f t="shared" ref="S201" si="358">SUMPRODUCT(J201:M201,O201:R201)</f>
        <v>124632</v>
      </c>
      <c r="T201" s="582">
        <f t="shared" ref="T201" si="359">IF(O201&gt;prisgrense,J201*prisgrense,J201*O201)</f>
        <v>124632</v>
      </c>
      <c r="U201" s="582">
        <f t="shared" ref="U201" si="360">IF(P201&gt;prisgrense,K201*prisgrense,K201*P201)</f>
        <v>0</v>
      </c>
      <c r="V201" s="582">
        <f t="shared" ref="V201" si="361">IF(Q201&gt;prisgrense,L201*prisgrense,L201*Q201)</f>
        <v>0</v>
      </c>
      <c r="W201" s="582">
        <f t="shared" ref="W201" si="362">IF(R201&gt;prisgrense,M201*prisgrense,M201*R201)</f>
        <v>0</v>
      </c>
      <c r="X201" s="582">
        <f t="shared" ref="X201" si="363">SUM(T201:W201)</f>
        <v>124632</v>
      </c>
      <c r="Y201" s="104" t="s">
        <v>869</v>
      </c>
      <c r="AC201" s="521"/>
    </row>
    <row r="202" spans="1:29" ht="12.75" customHeight="1" outlineLevel="2" x14ac:dyDescent="0.2">
      <c r="A202" s="497">
        <v>4</v>
      </c>
      <c r="B202" s="148">
        <v>15</v>
      </c>
      <c r="C202" s="186" t="s">
        <v>219</v>
      </c>
      <c r="D202" s="128" t="s">
        <v>224</v>
      </c>
      <c r="E202" s="361">
        <v>3880</v>
      </c>
      <c r="F202" s="536" t="s">
        <v>108</v>
      </c>
      <c r="G202" s="191" t="s">
        <v>174</v>
      </c>
      <c r="H202" s="161" t="s">
        <v>8</v>
      </c>
      <c r="I202" s="140" t="s">
        <v>68</v>
      </c>
      <c r="J202" s="140"/>
      <c r="K202" s="140"/>
      <c r="L202" s="140"/>
      <c r="M202" s="140"/>
      <c r="N202" s="581">
        <f t="shared" si="343"/>
        <v>0</v>
      </c>
      <c r="O202" s="392">
        <v>4328</v>
      </c>
      <c r="P202" s="392">
        <v>4328</v>
      </c>
      <c r="Q202" s="616">
        <v>4328</v>
      </c>
      <c r="R202" s="392">
        <v>4202</v>
      </c>
      <c r="S202" s="582">
        <f t="shared" si="299"/>
        <v>0</v>
      </c>
      <c r="T202" s="582">
        <f t="shared" si="300"/>
        <v>0</v>
      </c>
      <c r="U202" s="582">
        <f t="shared" si="300"/>
        <v>0</v>
      </c>
      <c r="V202" s="582">
        <f t="shared" si="300"/>
        <v>0</v>
      </c>
      <c r="W202" s="582">
        <f t="shared" si="300"/>
        <v>0</v>
      </c>
      <c r="X202" s="582">
        <f t="shared" si="301"/>
        <v>0</v>
      </c>
      <c r="Y202" s="104"/>
      <c r="AC202" s="521"/>
    </row>
    <row r="203" spans="1:29" ht="12.75" customHeight="1" outlineLevel="2" x14ac:dyDescent="0.2">
      <c r="A203" s="497">
        <v>4</v>
      </c>
      <c r="B203" s="148">
        <v>16</v>
      </c>
      <c r="C203" s="186" t="s">
        <v>360</v>
      </c>
      <c r="D203" s="128" t="s">
        <v>361</v>
      </c>
      <c r="E203" s="361" t="s">
        <v>362</v>
      </c>
      <c r="F203" s="536" t="s">
        <v>109</v>
      </c>
      <c r="G203" s="191" t="s">
        <v>291</v>
      </c>
      <c r="H203" s="161" t="s">
        <v>8</v>
      </c>
      <c r="I203" s="140" t="s">
        <v>68</v>
      </c>
      <c r="J203" s="140"/>
      <c r="K203" s="140"/>
      <c r="L203" s="140"/>
      <c r="M203" s="140"/>
      <c r="N203" s="581">
        <f t="shared" si="343"/>
        <v>0</v>
      </c>
      <c r="O203" s="392">
        <v>3030</v>
      </c>
      <c r="P203" s="392">
        <v>3030</v>
      </c>
      <c r="Q203" s="616">
        <v>3030</v>
      </c>
      <c r="R203" s="392">
        <v>2942</v>
      </c>
      <c r="S203" s="582">
        <f t="shared" si="299"/>
        <v>0</v>
      </c>
      <c r="T203" s="582">
        <f t="shared" si="300"/>
        <v>0</v>
      </c>
      <c r="U203" s="582">
        <f t="shared" si="300"/>
        <v>0</v>
      </c>
      <c r="V203" s="582">
        <f t="shared" si="300"/>
        <v>0</v>
      </c>
      <c r="W203" s="582">
        <f t="shared" si="300"/>
        <v>0</v>
      </c>
      <c r="X203" s="582">
        <f t="shared" si="301"/>
        <v>0</v>
      </c>
      <c r="Y203" s="104"/>
      <c r="AC203" s="521"/>
    </row>
    <row r="204" spans="1:29" ht="12.75" customHeight="1" outlineLevel="2" x14ac:dyDescent="0.2">
      <c r="A204" s="497">
        <v>4</v>
      </c>
      <c r="B204" s="148">
        <v>17</v>
      </c>
      <c r="C204" s="186" t="s">
        <v>818</v>
      </c>
      <c r="D204" s="128" t="s">
        <v>819</v>
      </c>
      <c r="E204" s="361">
        <v>176880</v>
      </c>
      <c r="F204" s="536" t="s">
        <v>746</v>
      </c>
      <c r="G204" s="191" t="s">
        <v>105</v>
      </c>
      <c r="H204" s="161" t="s">
        <v>8</v>
      </c>
      <c r="I204" s="140" t="s">
        <v>68</v>
      </c>
      <c r="J204" s="140">
        <v>469</v>
      </c>
      <c r="K204" s="140"/>
      <c r="L204" s="140"/>
      <c r="M204" s="140"/>
      <c r="N204" s="581">
        <f t="shared" ref="N204" si="364">SUM(J204:M204)</f>
        <v>469</v>
      </c>
      <c r="O204" s="392">
        <v>4796</v>
      </c>
      <c r="P204" s="392">
        <v>4796</v>
      </c>
      <c r="Q204" s="616">
        <v>4796</v>
      </c>
      <c r="R204" s="392">
        <v>4489</v>
      </c>
      <c r="S204" s="582">
        <f t="shared" ref="S204" si="365">SUMPRODUCT(J204:M204,O204:R204)</f>
        <v>2249324</v>
      </c>
      <c r="T204" s="582">
        <f t="shared" ref="T204" si="366">IF(O204&gt;prisgrense,J204*prisgrense,J204*O204)</f>
        <v>2249324</v>
      </c>
      <c r="U204" s="582">
        <f t="shared" ref="U204" si="367">IF(P204&gt;prisgrense,K204*prisgrense,K204*P204)</f>
        <v>0</v>
      </c>
      <c r="V204" s="582">
        <f t="shared" ref="V204" si="368">IF(Q204&gt;prisgrense,L204*prisgrense,L204*Q204)</f>
        <v>0</v>
      </c>
      <c r="W204" s="582">
        <f t="shared" ref="W204" si="369">IF(R204&gt;prisgrense,M204*prisgrense,M204*R204)</f>
        <v>0</v>
      </c>
      <c r="X204" s="582">
        <f t="shared" ref="X204" si="370">SUM(T204:W204)</f>
        <v>2249324</v>
      </c>
      <c r="Y204" s="104" t="s">
        <v>820</v>
      </c>
      <c r="AC204" s="521"/>
    </row>
    <row r="205" spans="1:29" ht="12.75" customHeight="1" outlineLevel="2" x14ac:dyDescent="0.2">
      <c r="A205" s="495">
        <v>4</v>
      </c>
      <c r="B205" s="150">
        <v>18</v>
      </c>
      <c r="C205" s="574" t="s">
        <v>871</v>
      </c>
      <c r="D205" s="413" t="s">
        <v>897</v>
      </c>
      <c r="E205" s="236" t="s">
        <v>896</v>
      </c>
      <c r="F205" s="135" t="s">
        <v>109</v>
      </c>
      <c r="G205" s="143" t="s">
        <v>291</v>
      </c>
      <c r="H205" s="136" t="s">
        <v>8</v>
      </c>
      <c r="I205" s="134" t="s">
        <v>68</v>
      </c>
      <c r="J205" s="134">
        <v>11</v>
      </c>
      <c r="K205" s="134"/>
      <c r="L205" s="134"/>
      <c r="M205" s="177"/>
      <c r="N205" s="302">
        <f t="shared" ref="N205" si="371">SUM(J205:M205)</f>
        <v>11</v>
      </c>
      <c r="O205" s="146">
        <v>3462</v>
      </c>
      <c r="P205" s="146">
        <v>3462</v>
      </c>
      <c r="Q205" s="622">
        <v>3462</v>
      </c>
      <c r="R205" s="146">
        <v>3361</v>
      </c>
      <c r="S205" s="132">
        <f t="shared" ref="S205" si="372">SUMPRODUCT(J205:M205,O205:R205)</f>
        <v>38082</v>
      </c>
      <c r="T205" s="132">
        <f t="shared" ref="T205" si="373">IF(O205&gt;prisgrense,J205*prisgrense,J205*O205)</f>
        <v>38082</v>
      </c>
      <c r="U205" s="132">
        <f t="shared" ref="U205" si="374">IF(P205&gt;prisgrense,K205*prisgrense,K205*P205)</f>
        <v>0</v>
      </c>
      <c r="V205" s="132">
        <f t="shared" ref="V205" si="375">IF(Q205&gt;prisgrense,L205*prisgrense,L205*Q205)</f>
        <v>0</v>
      </c>
      <c r="W205" s="132">
        <f t="shared" ref="W205" si="376">IF(R205&gt;prisgrense,M205*prisgrense,M205*R205)</f>
        <v>0</v>
      </c>
      <c r="X205" s="132">
        <f t="shared" ref="X205" si="377">SUM(T205:W205)</f>
        <v>38082</v>
      </c>
      <c r="Y205" s="104" t="s">
        <v>869</v>
      </c>
      <c r="AC205" s="521"/>
    </row>
    <row r="206" spans="1:29" ht="12.75" customHeight="1" outlineLevel="2" x14ac:dyDescent="0.2">
      <c r="A206" s="495">
        <v>4</v>
      </c>
      <c r="B206" s="150">
        <v>19</v>
      </c>
      <c r="C206" s="129"/>
      <c r="D206" s="129" t="s">
        <v>915</v>
      </c>
      <c r="E206" s="356"/>
      <c r="F206" s="130" t="s">
        <v>746</v>
      </c>
      <c r="G206" s="143" t="s">
        <v>105</v>
      </c>
      <c r="H206" s="133" t="s">
        <v>8</v>
      </c>
      <c r="I206" s="134" t="s">
        <v>68</v>
      </c>
      <c r="J206" s="134">
        <v>271</v>
      </c>
      <c r="K206" s="134"/>
      <c r="L206" s="134"/>
      <c r="M206" s="177"/>
      <c r="N206" s="302">
        <f t="shared" ref="N206" si="378">SUM(J206:M206)</f>
        <v>271</v>
      </c>
      <c r="O206" s="146">
        <v>4759</v>
      </c>
      <c r="P206" s="146">
        <v>4759</v>
      </c>
      <c r="Q206" s="622">
        <v>4759</v>
      </c>
      <c r="R206" s="146">
        <v>4583</v>
      </c>
      <c r="S206" s="132">
        <f t="shared" ref="S206" si="379">SUMPRODUCT(J206:M206,O206:R206)</f>
        <v>1289689</v>
      </c>
      <c r="T206" s="132">
        <f t="shared" ref="T206" si="380">IF(O206&gt;prisgrense,J206*prisgrense,J206*O206)</f>
        <v>1289689</v>
      </c>
      <c r="U206" s="132">
        <f t="shared" ref="U206" si="381">IF(P206&gt;prisgrense,K206*prisgrense,K206*P206)</f>
        <v>0</v>
      </c>
      <c r="V206" s="132">
        <f t="shared" ref="V206" si="382">IF(Q206&gt;prisgrense,L206*prisgrense,L206*Q206)</f>
        <v>0</v>
      </c>
      <c r="W206" s="132">
        <f t="shared" ref="W206" si="383">IF(R206&gt;prisgrense,M206*prisgrense,M206*R206)</f>
        <v>0</v>
      </c>
      <c r="X206" s="132">
        <f t="shared" ref="X206" si="384">SUM(T206:W206)</f>
        <v>1289689</v>
      </c>
      <c r="Y206" s="104" t="s">
        <v>917</v>
      </c>
      <c r="AC206" s="521"/>
    </row>
    <row r="207" spans="1:29" s="152" customFormat="1" ht="12.75" customHeight="1" outlineLevel="2" x14ac:dyDescent="0.2">
      <c r="A207" s="495">
        <v>4</v>
      </c>
      <c r="B207" s="150">
        <v>20</v>
      </c>
      <c r="C207" s="129" t="s">
        <v>829</v>
      </c>
      <c r="D207" s="129" t="s">
        <v>830</v>
      </c>
      <c r="E207" s="184"/>
      <c r="F207" s="135" t="s">
        <v>108</v>
      </c>
      <c r="G207" s="135" t="s">
        <v>174</v>
      </c>
      <c r="H207" s="135" t="s">
        <v>8</v>
      </c>
      <c r="I207" s="129" t="s">
        <v>68</v>
      </c>
      <c r="J207" s="129">
        <v>22</v>
      </c>
      <c r="K207" s="129"/>
      <c r="L207" s="129"/>
      <c r="M207" s="141"/>
      <c r="N207" s="302">
        <f t="shared" ref="N207" si="385">SUM(J207:M207)</f>
        <v>22</v>
      </c>
      <c r="O207" s="146">
        <v>4870</v>
      </c>
      <c r="P207" s="146">
        <v>4870</v>
      </c>
      <c r="Q207" s="622">
        <v>4870</v>
      </c>
      <c r="R207" s="146">
        <v>4728</v>
      </c>
      <c r="S207" s="132">
        <f t="shared" ref="S207" si="386">SUMPRODUCT(J207:M207,O207:R207)</f>
        <v>107140</v>
      </c>
      <c r="T207" s="132">
        <f t="shared" ref="T207" si="387">IF(O207&gt;prisgrense,J207*prisgrense,J207*O207)</f>
        <v>106304</v>
      </c>
      <c r="U207" s="132">
        <f t="shared" ref="U207" si="388">IF(P207&gt;prisgrense,K207*prisgrense,K207*P207)</f>
        <v>0</v>
      </c>
      <c r="V207" s="132">
        <f t="shared" ref="V207" si="389">IF(Q207&gt;prisgrense,L207*prisgrense,L207*Q207)</f>
        <v>0</v>
      </c>
      <c r="W207" s="132">
        <f t="shared" ref="W207" si="390">IF(R207&gt;prisgrense,M207*prisgrense,M207*R207)</f>
        <v>0</v>
      </c>
      <c r="X207" s="132">
        <f t="shared" ref="X207" si="391">SUM(T207:W207)</f>
        <v>106304</v>
      </c>
      <c r="Y207" s="152" t="s">
        <v>848</v>
      </c>
      <c r="Z207" s="395"/>
      <c r="AC207" s="559"/>
    </row>
    <row r="208" spans="1:29" ht="12.75" customHeight="1" outlineLevel="2" x14ac:dyDescent="0.2">
      <c r="A208" s="495">
        <v>4</v>
      </c>
      <c r="B208" s="127">
        <v>21</v>
      </c>
      <c r="C208" s="129" t="s">
        <v>722</v>
      </c>
      <c r="D208" s="129" t="s">
        <v>723</v>
      </c>
      <c r="E208" s="184">
        <v>1013104</v>
      </c>
      <c r="F208" s="135" t="s">
        <v>792</v>
      </c>
      <c r="G208" s="135" t="s">
        <v>104</v>
      </c>
      <c r="H208" s="136" t="s">
        <v>8</v>
      </c>
      <c r="I208" s="134" t="s">
        <v>68</v>
      </c>
      <c r="J208" s="134">
        <v>327</v>
      </c>
      <c r="K208" s="134"/>
      <c r="L208" s="134"/>
      <c r="M208" s="177"/>
      <c r="N208" s="302">
        <f t="shared" si="343"/>
        <v>327</v>
      </c>
      <c r="O208" s="146">
        <v>4735</v>
      </c>
      <c r="P208" s="146">
        <v>4735</v>
      </c>
      <c r="Q208" s="622">
        <v>4735</v>
      </c>
      <c r="R208" s="146">
        <v>4735</v>
      </c>
      <c r="S208" s="132">
        <f t="shared" ref="S208" si="392">SUMPRODUCT(J208:M208,O208:R208)</f>
        <v>1548345</v>
      </c>
      <c r="T208" s="132">
        <f t="shared" ref="T208" si="393">IF(O208&gt;prisgrense,J208*prisgrense,J208*O208)</f>
        <v>1548345</v>
      </c>
      <c r="U208" s="132">
        <f t="shared" ref="U208" si="394">IF(P208&gt;prisgrense,K208*prisgrense,K208*P208)</f>
        <v>0</v>
      </c>
      <c r="V208" s="132">
        <f t="shared" ref="V208" si="395">IF(Q208&gt;prisgrense,L208*prisgrense,L208*Q208)</f>
        <v>0</v>
      </c>
      <c r="W208" s="132">
        <f t="shared" ref="W208" si="396">IF(R208&gt;prisgrense,M208*prisgrense,M208*R208)</f>
        <v>0</v>
      </c>
      <c r="X208" s="132">
        <f t="shared" ref="X208" si="397">SUM(T208:W208)</f>
        <v>1548345</v>
      </c>
      <c r="Y208" s="104" t="s">
        <v>724</v>
      </c>
      <c r="AC208" s="521"/>
    </row>
    <row r="209" spans="1:197 16380:16384" ht="12.75" customHeight="1" outlineLevel="2" x14ac:dyDescent="0.2">
      <c r="A209" s="495">
        <v>4</v>
      </c>
      <c r="B209" s="127">
        <v>22</v>
      </c>
      <c r="C209" s="129" t="s">
        <v>227</v>
      </c>
      <c r="D209" s="129" t="s">
        <v>229</v>
      </c>
      <c r="E209" s="135">
        <v>1010302</v>
      </c>
      <c r="F209" s="130" t="s">
        <v>746</v>
      </c>
      <c r="G209" s="140" t="s">
        <v>105</v>
      </c>
      <c r="H209" s="158" t="s">
        <v>8</v>
      </c>
      <c r="I209" s="140" t="s">
        <v>168</v>
      </c>
      <c r="J209" s="140"/>
      <c r="K209" s="140"/>
      <c r="L209" s="391"/>
      <c r="M209" s="391"/>
      <c r="N209" s="302">
        <f t="shared" si="343"/>
        <v>0</v>
      </c>
      <c r="O209" s="146">
        <v>4770</v>
      </c>
      <c r="P209" s="146">
        <v>4770</v>
      </c>
      <c r="Q209" s="622">
        <v>4770</v>
      </c>
      <c r="R209" s="146">
        <v>4593</v>
      </c>
      <c r="S209" s="132">
        <f t="shared" si="299"/>
        <v>0</v>
      </c>
      <c r="T209" s="132">
        <f t="shared" si="300"/>
        <v>0</v>
      </c>
      <c r="U209" s="132">
        <f t="shared" si="300"/>
        <v>0</v>
      </c>
      <c r="V209" s="132">
        <f t="shared" si="300"/>
        <v>0</v>
      </c>
      <c r="W209" s="132">
        <f t="shared" si="300"/>
        <v>0</v>
      </c>
      <c r="X209" s="132">
        <f t="shared" si="301"/>
        <v>0</v>
      </c>
      <c r="Y209" s="104"/>
      <c r="AC209" s="521"/>
      <c r="XEZ209" s="150"/>
      <c r="XFA209" s="127"/>
      <c r="XFB209" s="129"/>
      <c r="XFC209" s="184"/>
      <c r="XFD209" s="135"/>
    </row>
    <row r="210" spans="1:197 16380:16384" ht="12.75" customHeight="1" outlineLevel="2" x14ac:dyDescent="0.2">
      <c r="A210" s="495">
        <v>4</v>
      </c>
      <c r="B210" s="127">
        <v>23</v>
      </c>
      <c r="C210" s="134"/>
      <c r="D210" s="129" t="s">
        <v>833</v>
      </c>
      <c r="E210" s="359"/>
      <c r="F210" s="130" t="s">
        <v>607</v>
      </c>
      <c r="G210" s="136" t="s">
        <v>103</v>
      </c>
      <c r="H210" s="136" t="s">
        <v>8</v>
      </c>
      <c r="I210" s="134" t="s">
        <v>68</v>
      </c>
      <c r="J210" s="134">
        <v>286</v>
      </c>
      <c r="K210" s="129"/>
      <c r="L210" s="129"/>
      <c r="M210" s="141"/>
      <c r="N210" s="302">
        <f>SUM(J210:M210)</f>
        <v>286</v>
      </c>
      <c r="O210" s="146">
        <v>4660</v>
      </c>
      <c r="P210" s="146">
        <v>4660</v>
      </c>
      <c r="Q210" s="146">
        <v>4660</v>
      </c>
      <c r="R210" s="146">
        <v>4660</v>
      </c>
      <c r="S210" s="132">
        <f>SUMPRODUCT(J210:M210,O210:R210)</f>
        <v>1332760</v>
      </c>
      <c r="T210" s="132">
        <f t="shared" ref="T210" si="398">IF(O210&gt;prisgrense,J210*prisgrense,J210*O210)</f>
        <v>1332760</v>
      </c>
      <c r="U210" s="132">
        <f t="shared" ref="U210" si="399">IF(P210&gt;prisgrense,K210*prisgrense,K210*P210)</f>
        <v>0</v>
      </c>
      <c r="V210" s="132">
        <f t="shared" ref="V210" si="400">IF(Q210&gt;prisgrense,L210*prisgrense,L210*Q210)</f>
        <v>0</v>
      </c>
      <c r="W210" s="132">
        <f t="shared" ref="W210" si="401">IF(R210&gt;prisgrense,M210*prisgrense,M210*R210)</f>
        <v>0</v>
      </c>
      <c r="X210" s="132">
        <f>SUM(T210:W210)</f>
        <v>1332760</v>
      </c>
      <c r="Y210" s="139" t="s">
        <v>1001</v>
      </c>
      <c r="Z210" s="393">
        <v>4</v>
      </c>
      <c r="AC210" s="521"/>
    </row>
    <row r="211" spans="1:197 16380:16384" ht="12.75" customHeight="1" outlineLevel="2" x14ac:dyDescent="0.2">
      <c r="A211" s="495">
        <v>4</v>
      </c>
      <c r="B211" s="127">
        <v>23</v>
      </c>
      <c r="C211" s="134"/>
      <c r="D211" s="129" t="s">
        <v>998</v>
      </c>
      <c r="E211" s="359" t="s">
        <v>999</v>
      </c>
      <c r="F211" s="130" t="s">
        <v>607</v>
      </c>
      <c r="G211" s="136"/>
      <c r="H211" s="136" t="s">
        <v>8</v>
      </c>
      <c r="I211" s="134" t="s">
        <v>68</v>
      </c>
      <c r="J211" s="134">
        <v>253</v>
      </c>
      <c r="K211" s="129"/>
      <c r="L211" s="129"/>
      <c r="M211" s="141"/>
      <c r="N211" s="302">
        <f>SUM(J211:M211)</f>
        <v>253</v>
      </c>
      <c r="O211" s="146">
        <v>4800</v>
      </c>
      <c r="P211" s="146">
        <v>4800</v>
      </c>
      <c r="Q211" s="622">
        <v>4800</v>
      </c>
      <c r="R211" s="146">
        <v>4660</v>
      </c>
      <c r="S211" s="132">
        <f>SUMPRODUCT(J211:M211,O211:R211)</f>
        <v>1214400</v>
      </c>
      <c r="T211" s="132">
        <f t="shared" ref="T211" si="402">IF(O211&gt;prisgrense,J211*prisgrense,J211*O211)</f>
        <v>1214400</v>
      </c>
      <c r="U211" s="132">
        <f t="shared" ref="U211" si="403">IF(P211&gt;prisgrense,K211*prisgrense,K211*P211)</f>
        <v>0</v>
      </c>
      <c r="V211" s="132">
        <f t="shared" ref="V211" si="404">IF(Q211&gt;prisgrense,L211*prisgrense,L211*Q211)</f>
        <v>0</v>
      </c>
      <c r="W211" s="132">
        <f t="shared" ref="W211" si="405">IF(R211&gt;prisgrense,M211*prisgrense,M211*R211)</f>
        <v>0</v>
      </c>
      <c r="X211" s="132">
        <f>SUM(T211:W211)</f>
        <v>1214400</v>
      </c>
      <c r="Y211" s="139" t="s">
        <v>1000</v>
      </c>
      <c r="AC211" s="521"/>
    </row>
    <row r="212" spans="1:197 16380:16384" ht="12.75" customHeight="1" outlineLevel="1" x14ac:dyDescent="0.2">
      <c r="A212" s="498" t="s">
        <v>563</v>
      </c>
      <c r="B212" s="166"/>
      <c r="C212" s="172"/>
      <c r="D212" s="172" t="s">
        <v>356</v>
      </c>
      <c r="E212" s="398"/>
      <c r="F212" s="171"/>
      <c r="G212" s="171"/>
      <c r="H212" s="171"/>
      <c r="I212" s="172"/>
      <c r="J212" s="172">
        <f>SUBTOTAL(9,J186:J211)</f>
        <v>2197</v>
      </c>
      <c r="K212" s="172">
        <f>SUBTOTAL(9,K186:K211)</f>
        <v>0</v>
      </c>
      <c r="L212" s="172">
        <f>SUBTOTAL(9,L186:L211)</f>
        <v>0</v>
      </c>
      <c r="M212" s="172">
        <f>SUBTOTAL(9,M186:M211)</f>
        <v>0</v>
      </c>
      <c r="N212" s="430">
        <f>SUBTOTAL(9,N186:N211)</f>
        <v>2197</v>
      </c>
      <c r="O212" s="172"/>
      <c r="P212" s="172"/>
      <c r="Q212" s="154"/>
      <c r="R212" s="154"/>
      <c r="S212" s="400">
        <f t="shared" ref="S212:X212" si="406">SUBTOTAL(9,S186:S211)</f>
        <v>10338565</v>
      </c>
      <c r="T212" s="400">
        <f t="shared" si="406"/>
        <v>10337729</v>
      </c>
      <c r="U212" s="400">
        <f t="shared" si="406"/>
        <v>0</v>
      </c>
      <c r="V212" s="400">
        <f t="shared" si="406"/>
        <v>0</v>
      </c>
      <c r="W212" s="400">
        <f t="shared" si="406"/>
        <v>0</v>
      </c>
      <c r="X212" s="400">
        <f t="shared" si="406"/>
        <v>10337729</v>
      </c>
      <c r="AC212" s="521"/>
      <c r="XFD212" s="104">
        <f>SUBTOTAL(9,XFD186:XFD209)</f>
        <v>0</v>
      </c>
    </row>
    <row r="213" spans="1:197 16380:16384" ht="12.75" customHeight="1" outlineLevel="1" x14ac:dyDescent="0.2">
      <c r="A213" s="493"/>
      <c r="B213" s="166"/>
      <c r="C213" s="154"/>
      <c r="D213" s="169"/>
      <c r="E213" s="320"/>
      <c r="F213" s="170"/>
      <c r="G213" s="170"/>
      <c r="H213" s="171"/>
      <c r="I213" s="172"/>
      <c r="J213" s="172"/>
      <c r="K213" s="172"/>
      <c r="L213" s="172"/>
      <c r="M213" s="172"/>
      <c r="N213" s="348"/>
      <c r="O213" s="155"/>
      <c r="P213" s="155"/>
      <c r="Q213" s="155"/>
      <c r="R213" s="155"/>
      <c r="Y213" s="104"/>
      <c r="AC213" s="521"/>
    </row>
    <row r="214" spans="1:197 16380:16384" s="126" customFormat="1" ht="12.75" customHeight="1" outlineLevel="2" x14ac:dyDescent="0.2">
      <c r="A214" s="493">
        <v>5</v>
      </c>
      <c r="B214" s="124"/>
      <c r="C214" s="125" t="s">
        <v>365</v>
      </c>
      <c r="D214" s="168" t="s">
        <v>133</v>
      </c>
      <c r="E214" s="355"/>
      <c r="F214" s="174"/>
      <c r="G214" s="174"/>
      <c r="H214" s="174"/>
      <c r="I214" s="176"/>
      <c r="J214" s="176"/>
      <c r="K214" s="176"/>
      <c r="L214" s="176"/>
      <c r="M214" s="176"/>
      <c r="N214" s="347"/>
      <c r="O214" s="175"/>
      <c r="P214" s="175"/>
      <c r="Q214" s="175"/>
      <c r="R214" s="175"/>
      <c r="Z214" s="474"/>
      <c r="AC214" s="521"/>
    </row>
    <row r="215" spans="1:197 16380:16384" ht="12.75" customHeight="1" outlineLevel="2" x14ac:dyDescent="0.2">
      <c r="A215" s="495">
        <v>5</v>
      </c>
      <c r="B215" s="127">
        <v>1</v>
      </c>
      <c r="C215" s="129"/>
      <c r="D215" s="179" t="s">
        <v>725</v>
      </c>
      <c r="E215" s="184" t="s">
        <v>726</v>
      </c>
      <c r="F215" s="130" t="s">
        <v>106</v>
      </c>
      <c r="G215" s="143" t="s">
        <v>113</v>
      </c>
      <c r="H215" s="133" t="s">
        <v>134</v>
      </c>
      <c r="I215" s="134" t="s">
        <v>504</v>
      </c>
      <c r="J215" s="134"/>
      <c r="K215" s="134"/>
      <c r="L215" s="134"/>
      <c r="M215" s="177"/>
      <c r="N215" s="302">
        <f t="shared" si="343"/>
        <v>0</v>
      </c>
      <c r="O215" s="146">
        <v>34623</v>
      </c>
      <c r="P215" s="146">
        <v>34623</v>
      </c>
      <c r="Q215" s="622">
        <v>34623</v>
      </c>
      <c r="R215" s="146">
        <v>33615</v>
      </c>
      <c r="S215" s="132">
        <f t="shared" ref="S215:S221" si="407">SUMPRODUCT(J215:M215,O215:R215)</f>
        <v>0</v>
      </c>
      <c r="T215" s="132">
        <f t="shared" ref="T215:T221" si="408">J215*O215</f>
        <v>0</v>
      </c>
      <c r="U215" s="132">
        <f t="shared" ref="U215:U221" si="409">K215*P215</f>
        <v>0</v>
      </c>
      <c r="V215" s="132">
        <f t="shared" ref="V215:V221" si="410">L215*Q215</f>
        <v>0</v>
      </c>
      <c r="W215" s="132">
        <f t="shared" ref="W215:W221" si="411">M215*R215</f>
        <v>0</v>
      </c>
      <c r="X215" s="132">
        <f t="shared" ref="X215:X221" si="412">SUM(T215:W215)</f>
        <v>0</v>
      </c>
      <c r="Y215" s="104" t="s">
        <v>727</v>
      </c>
      <c r="AC215" s="521"/>
    </row>
    <row r="216" spans="1:197 16380:16384" ht="12.75" customHeight="1" outlineLevel="2" x14ac:dyDescent="0.2">
      <c r="A216" s="495">
        <v>5</v>
      </c>
      <c r="B216" s="127">
        <v>2</v>
      </c>
      <c r="C216" s="129"/>
      <c r="D216" s="179" t="s">
        <v>729</v>
      </c>
      <c r="E216" s="184" t="s">
        <v>730</v>
      </c>
      <c r="F216" s="130" t="s">
        <v>106</v>
      </c>
      <c r="G216" s="143" t="s">
        <v>113</v>
      </c>
      <c r="H216" s="133" t="s">
        <v>134</v>
      </c>
      <c r="I216" s="134" t="s">
        <v>504</v>
      </c>
      <c r="J216" s="134"/>
      <c r="K216" s="134"/>
      <c r="L216" s="134"/>
      <c r="M216" s="177"/>
      <c r="N216" s="302">
        <f t="shared" si="343"/>
        <v>0</v>
      </c>
      <c r="O216" s="146">
        <v>36787</v>
      </c>
      <c r="P216" s="146">
        <v>36787</v>
      </c>
      <c r="Q216" s="622">
        <v>36787</v>
      </c>
      <c r="R216" s="146">
        <v>35716</v>
      </c>
      <c r="S216" s="132">
        <f t="shared" si="407"/>
        <v>0</v>
      </c>
      <c r="T216" s="132">
        <f t="shared" si="408"/>
        <v>0</v>
      </c>
      <c r="U216" s="132">
        <f t="shared" si="409"/>
        <v>0</v>
      </c>
      <c r="V216" s="132">
        <f t="shared" si="410"/>
        <v>0</v>
      </c>
      <c r="W216" s="132">
        <f t="shared" si="411"/>
        <v>0</v>
      </c>
      <c r="X216" s="132">
        <f t="shared" si="412"/>
        <v>0</v>
      </c>
      <c r="Y216" s="104" t="s">
        <v>727</v>
      </c>
      <c r="AC216" s="521"/>
    </row>
    <row r="217" spans="1:197 16380:16384" ht="12.75" customHeight="1" outlineLevel="2" x14ac:dyDescent="0.2">
      <c r="A217" s="495">
        <v>5</v>
      </c>
      <c r="B217" s="127">
        <v>3</v>
      </c>
      <c r="C217" s="129"/>
      <c r="D217" s="179" t="s">
        <v>367</v>
      </c>
      <c r="E217" s="184" t="s">
        <v>368</v>
      </c>
      <c r="F217" s="130" t="s">
        <v>793</v>
      </c>
      <c r="G217" s="143" t="s">
        <v>114</v>
      </c>
      <c r="H217" s="133" t="s">
        <v>134</v>
      </c>
      <c r="I217" s="134" t="s">
        <v>504</v>
      </c>
      <c r="J217" s="134">
        <v>40</v>
      </c>
      <c r="K217" s="134"/>
      <c r="L217" s="134"/>
      <c r="M217" s="177"/>
      <c r="N217" s="302">
        <f t="shared" si="343"/>
        <v>40</v>
      </c>
      <c r="O217" s="146">
        <v>39318</v>
      </c>
      <c r="P217" s="146">
        <v>39318</v>
      </c>
      <c r="Q217" s="622">
        <v>39318</v>
      </c>
      <c r="R217" s="146">
        <v>38173</v>
      </c>
      <c r="S217" s="132">
        <f t="shared" si="407"/>
        <v>1572720</v>
      </c>
      <c r="T217" s="132">
        <f t="shared" si="408"/>
        <v>1572720</v>
      </c>
      <c r="U217" s="132">
        <f t="shared" si="409"/>
        <v>0</v>
      </c>
      <c r="V217" s="132">
        <f t="shared" si="410"/>
        <v>0</v>
      </c>
      <c r="W217" s="132">
        <f t="shared" si="411"/>
        <v>0</v>
      </c>
      <c r="X217" s="132">
        <f t="shared" si="412"/>
        <v>1572720</v>
      </c>
      <c r="Y217" s="104"/>
      <c r="AC217" s="521"/>
    </row>
    <row r="218" spans="1:197 16380:16384" ht="12.75" customHeight="1" outlineLevel="2" x14ac:dyDescent="0.2">
      <c r="A218" s="495">
        <v>5</v>
      </c>
      <c r="B218" s="127">
        <v>4</v>
      </c>
      <c r="C218" s="129"/>
      <c r="D218" s="179" t="s">
        <v>629</v>
      </c>
      <c r="E218" s="184" t="s">
        <v>630</v>
      </c>
      <c r="F218" s="130" t="s">
        <v>793</v>
      </c>
      <c r="G218" s="143" t="s">
        <v>114</v>
      </c>
      <c r="H218" s="133" t="s">
        <v>134</v>
      </c>
      <c r="I218" s="134" t="s">
        <v>504</v>
      </c>
      <c r="J218" s="134">
        <v>15</v>
      </c>
      <c r="K218" s="134"/>
      <c r="L218" s="134"/>
      <c r="M218" s="177"/>
      <c r="N218" s="302">
        <f t="shared" si="343"/>
        <v>15</v>
      </c>
      <c r="O218" s="146">
        <v>37381</v>
      </c>
      <c r="P218" s="146">
        <v>37381</v>
      </c>
      <c r="Q218" s="622">
        <v>37381</v>
      </c>
      <c r="R218" s="146">
        <v>36292</v>
      </c>
      <c r="S218" s="132">
        <f t="shared" si="407"/>
        <v>560715</v>
      </c>
      <c r="T218" s="132">
        <f t="shared" si="408"/>
        <v>560715</v>
      </c>
      <c r="U218" s="132">
        <f t="shared" si="409"/>
        <v>0</v>
      </c>
      <c r="V218" s="132">
        <f t="shared" si="410"/>
        <v>0</v>
      </c>
      <c r="W218" s="132">
        <f t="shared" si="411"/>
        <v>0</v>
      </c>
      <c r="X218" s="132">
        <f t="shared" si="412"/>
        <v>560715</v>
      </c>
      <c r="Y218" s="104" t="s">
        <v>632</v>
      </c>
      <c r="AC218" s="521"/>
    </row>
    <row r="219" spans="1:197 16380:16384" ht="12.75" customHeight="1" outlineLevel="2" x14ac:dyDescent="0.2">
      <c r="A219" s="495">
        <v>5</v>
      </c>
      <c r="B219" s="127">
        <v>5</v>
      </c>
      <c r="C219" s="129"/>
      <c r="D219" s="179" t="s">
        <v>111</v>
      </c>
      <c r="E219" s="184" t="s">
        <v>369</v>
      </c>
      <c r="F219" s="130" t="s">
        <v>106</v>
      </c>
      <c r="G219" s="143" t="s">
        <v>113</v>
      </c>
      <c r="H219" s="133" t="s">
        <v>134</v>
      </c>
      <c r="I219" s="134" t="s">
        <v>504</v>
      </c>
      <c r="J219" s="134"/>
      <c r="K219" s="134"/>
      <c r="L219" s="134"/>
      <c r="M219" s="177"/>
      <c r="N219" s="302">
        <f t="shared" si="343"/>
        <v>0</v>
      </c>
      <c r="O219" s="146">
        <v>32459</v>
      </c>
      <c r="P219" s="146">
        <v>32459</v>
      </c>
      <c r="Q219" s="622">
        <v>32459</v>
      </c>
      <c r="R219" s="146">
        <v>31514</v>
      </c>
      <c r="S219" s="132">
        <f t="shared" si="407"/>
        <v>0</v>
      </c>
      <c r="T219" s="132">
        <f t="shared" si="408"/>
        <v>0</v>
      </c>
      <c r="U219" s="132">
        <f t="shared" si="409"/>
        <v>0</v>
      </c>
      <c r="V219" s="132">
        <f t="shared" si="410"/>
        <v>0</v>
      </c>
      <c r="W219" s="132">
        <f t="shared" si="411"/>
        <v>0</v>
      </c>
      <c r="X219" s="132">
        <f t="shared" si="412"/>
        <v>0</v>
      </c>
      <c r="Y219" s="104"/>
      <c r="AC219" s="521"/>
    </row>
    <row r="220" spans="1:197 16380:16384" ht="12.75" customHeight="1" outlineLevel="2" x14ac:dyDescent="0.2">
      <c r="A220" s="495">
        <v>5</v>
      </c>
      <c r="B220" s="127">
        <v>6</v>
      </c>
      <c r="C220" s="129"/>
      <c r="D220" s="179" t="s">
        <v>731</v>
      </c>
      <c r="E220" s="184" t="s">
        <v>732</v>
      </c>
      <c r="F220" s="130" t="s">
        <v>106</v>
      </c>
      <c r="G220" s="143" t="s">
        <v>113</v>
      </c>
      <c r="H220" s="133" t="s">
        <v>134</v>
      </c>
      <c r="I220" s="134" t="s">
        <v>504</v>
      </c>
      <c r="J220" s="134"/>
      <c r="K220" s="134"/>
      <c r="L220" s="134"/>
      <c r="M220" s="177"/>
      <c r="N220" s="302">
        <f t="shared" si="343"/>
        <v>0</v>
      </c>
      <c r="O220" s="146">
        <v>35706</v>
      </c>
      <c r="P220" s="146">
        <v>35706</v>
      </c>
      <c r="Q220" s="622">
        <v>35706</v>
      </c>
      <c r="R220" s="146">
        <v>34666</v>
      </c>
      <c r="S220" s="132">
        <f t="shared" si="407"/>
        <v>0</v>
      </c>
      <c r="T220" s="132">
        <f t="shared" si="408"/>
        <v>0</v>
      </c>
      <c r="U220" s="132">
        <f t="shared" si="409"/>
        <v>0</v>
      </c>
      <c r="V220" s="132">
        <f t="shared" si="410"/>
        <v>0</v>
      </c>
      <c r="W220" s="132">
        <f t="shared" si="411"/>
        <v>0</v>
      </c>
      <c r="X220" s="132">
        <f t="shared" si="412"/>
        <v>0</v>
      </c>
      <c r="Y220" s="104" t="s">
        <v>727</v>
      </c>
      <c r="AC220" s="521"/>
    </row>
    <row r="221" spans="1:197 16380:16384" ht="12.75" customHeight="1" outlineLevel="2" x14ac:dyDescent="0.2">
      <c r="A221" s="495">
        <v>5</v>
      </c>
      <c r="B221" s="127">
        <v>7</v>
      </c>
      <c r="C221" s="129"/>
      <c r="D221" s="179" t="s">
        <v>112</v>
      </c>
      <c r="E221" s="184" t="s">
        <v>370</v>
      </c>
      <c r="F221" s="130" t="s">
        <v>793</v>
      </c>
      <c r="G221" s="143" t="s">
        <v>114</v>
      </c>
      <c r="H221" s="133" t="s">
        <v>134</v>
      </c>
      <c r="I221" s="134" t="s">
        <v>504</v>
      </c>
      <c r="J221" s="134"/>
      <c r="K221" s="134"/>
      <c r="L221" s="134"/>
      <c r="M221" s="177"/>
      <c r="N221" s="302">
        <f t="shared" si="343"/>
        <v>0</v>
      </c>
      <c r="O221" s="146">
        <v>35900</v>
      </c>
      <c r="P221" s="146">
        <v>35900</v>
      </c>
      <c r="Q221" s="622">
        <v>35900</v>
      </c>
      <c r="R221" s="146">
        <v>34854</v>
      </c>
      <c r="S221" s="132">
        <f t="shared" si="407"/>
        <v>0</v>
      </c>
      <c r="T221" s="132">
        <f t="shared" si="408"/>
        <v>0</v>
      </c>
      <c r="U221" s="132">
        <f t="shared" si="409"/>
        <v>0</v>
      </c>
      <c r="V221" s="132">
        <f t="shared" si="410"/>
        <v>0</v>
      </c>
      <c r="W221" s="132">
        <f t="shared" si="411"/>
        <v>0</v>
      </c>
      <c r="X221" s="132">
        <f t="shared" si="412"/>
        <v>0</v>
      </c>
      <c r="Y221" s="104"/>
      <c r="AC221" s="521"/>
    </row>
    <row r="222" spans="1:197 16380:16384" ht="12.75" customHeight="1" outlineLevel="1" x14ac:dyDescent="0.2">
      <c r="A222" s="498" t="s">
        <v>562</v>
      </c>
      <c r="B222" s="166"/>
      <c r="C222" s="154"/>
      <c r="D222" s="154" t="s">
        <v>133</v>
      </c>
      <c r="E222" s="399"/>
      <c r="F222" s="170"/>
      <c r="G222" s="170"/>
      <c r="H222" s="397"/>
      <c r="I222" s="171"/>
      <c r="J222" s="172">
        <f>SUBTOTAL(9,J214:J221)</f>
        <v>55</v>
      </c>
      <c r="K222" s="172">
        <f>SUBTOTAL(9,K214:K221)</f>
        <v>0</v>
      </c>
      <c r="L222" s="172">
        <f>SUBTOTAL(9,L214:L221)</f>
        <v>0</v>
      </c>
      <c r="M222" s="172">
        <f>SUBTOTAL(9,M214:M221)</f>
        <v>0</v>
      </c>
      <c r="N222" s="348">
        <f>SUBTOTAL(9,N214:N221)</f>
        <v>55</v>
      </c>
      <c r="O222" s="172"/>
      <c r="P222" s="172"/>
      <c r="Q222" s="154"/>
      <c r="R222" s="154"/>
      <c r="S222" s="400">
        <f t="shared" ref="S222:X222" si="413">SUBTOTAL(9,S214:S221)</f>
        <v>2133435</v>
      </c>
      <c r="T222" s="400">
        <f t="shared" si="413"/>
        <v>2133435</v>
      </c>
      <c r="U222" s="400">
        <f t="shared" si="413"/>
        <v>0</v>
      </c>
      <c r="V222" s="400">
        <f t="shared" si="413"/>
        <v>0</v>
      </c>
      <c r="W222" s="400">
        <f t="shared" si="413"/>
        <v>0</v>
      </c>
      <c r="X222" s="400">
        <f t="shared" si="413"/>
        <v>2133435</v>
      </c>
      <c r="Y222" s="180"/>
      <c r="Z222" s="475"/>
      <c r="AA222" s="180"/>
      <c r="AB222" s="180"/>
      <c r="AC222" s="521"/>
      <c r="AD222" s="180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  <c r="AS222" s="180"/>
      <c r="AT222" s="180"/>
      <c r="AU222" s="180"/>
      <c r="AV222" s="180"/>
      <c r="AW222" s="180"/>
      <c r="AX222" s="180"/>
      <c r="AY222" s="180"/>
      <c r="AZ222" s="180"/>
      <c r="BA222" s="180"/>
      <c r="BB222" s="180"/>
      <c r="BC222" s="180"/>
      <c r="BD222" s="180"/>
      <c r="BE222" s="180"/>
      <c r="BF222" s="180"/>
      <c r="BG222" s="180"/>
      <c r="BH222" s="180"/>
      <c r="BI222" s="180"/>
      <c r="BJ222" s="180"/>
      <c r="BK222" s="180"/>
      <c r="BL222" s="180"/>
      <c r="BM222" s="180"/>
      <c r="BN222" s="180"/>
      <c r="BO222" s="180"/>
      <c r="BP222" s="180"/>
      <c r="BQ222" s="180"/>
      <c r="BR222" s="180"/>
      <c r="BS222" s="180"/>
      <c r="BT222" s="180"/>
      <c r="BU222" s="180"/>
      <c r="BV222" s="180"/>
      <c r="BW222" s="180"/>
      <c r="BX222" s="180"/>
      <c r="BY222" s="180"/>
      <c r="BZ222" s="180"/>
      <c r="CA222" s="180"/>
      <c r="CB222" s="180"/>
      <c r="CC222" s="180"/>
      <c r="CD222" s="180"/>
      <c r="CE222" s="180"/>
      <c r="CF222" s="180"/>
      <c r="CG222" s="180"/>
      <c r="CH222" s="180"/>
      <c r="CI222" s="180"/>
      <c r="CJ222" s="180"/>
      <c r="CK222" s="180"/>
      <c r="CL222" s="180"/>
      <c r="CM222" s="180"/>
      <c r="CN222" s="180"/>
      <c r="CO222" s="180"/>
      <c r="CP222" s="180"/>
      <c r="CQ222" s="180"/>
      <c r="CR222" s="180"/>
      <c r="CS222" s="180"/>
      <c r="CT222" s="180"/>
      <c r="CU222" s="180"/>
      <c r="CV222" s="180"/>
      <c r="CW222" s="180"/>
      <c r="CX222" s="180"/>
      <c r="CY222" s="180"/>
      <c r="CZ222" s="180"/>
      <c r="DA222" s="180"/>
      <c r="DB222" s="180"/>
      <c r="DC222" s="180"/>
      <c r="DD222" s="180"/>
      <c r="DE222" s="180"/>
      <c r="DF222" s="180"/>
      <c r="DG222" s="180"/>
      <c r="DH222" s="180"/>
      <c r="DI222" s="180"/>
      <c r="DJ222" s="180"/>
      <c r="DK222" s="180"/>
      <c r="DL222" s="180"/>
      <c r="DM222" s="180"/>
      <c r="DN222" s="180"/>
      <c r="DO222" s="180"/>
      <c r="DP222" s="180"/>
      <c r="DQ222" s="180"/>
      <c r="DR222" s="180"/>
      <c r="DS222" s="180"/>
      <c r="DT222" s="180"/>
      <c r="DU222" s="180"/>
      <c r="DV222" s="180"/>
      <c r="DW222" s="180"/>
      <c r="DX222" s="180"/>
      <c r="DY222" s="180"/>
      <c r="DZ222" s="180"/>
      <c r="EA222" s="180"/>
      <c r="EB222" s="180"/>
      <c r="EC222" s="180"/>
      <c r="ED222" s="180"/>
      <c r="EE222" s="180"/>
      <c r="EF222" s="180"/>
      <c r="EG222" s="180"/>
      <c r="EH222" s="180"/>
      <c r="EI222" s="180"/>
      <c r="EJ222" s="180"/>
      <c r="EK222" s="180"/>
      <c r="EL222" s="180"/>
      <c r="EM222" s="180"/>
      <c r="EN222" s="180"/>
      <c r="EO222" s="180"/>
      <c r="EP222" s="180"/>
      <c r="EQ222" s="180"/>
      <c r="ER222" s="180"/>
      <c r="ES222" s="180"/>
      <c r="ET222" s="180"/>
      <c r="EU222" s="180"/>
      <c r="EV222" s="180"/>
      <c r="EW222" s="180"/>
      <c r="EX222" s="180"/>
      <c r="EY222" s="180"/>
      <c r="EZ222" s="180"/>
      <c r="FA222" s="180"/>
      <c r="FB222" s="180"/>
      <c r="FC222" s="180"/>
      <c r="FD222" s="180"/>
      <c r="FE222" s="180"/>
      <c r="FF222" s="180"/>
      <c r="FG222" s="180"/>
      <c r="FH222" s="180"/>
      <c r="FI222" s="180"/>
      <c r="FJ222" s="180"/>
      <c r="FK222" s="180"/>
      <c r="FL222" s="180"/>
      <c r="FM222" s="180"/>
      <c r="FN222" s="180"/>
      <c r="FO222" s="180"/>
      <c r="FP222" s="180"/>
      <c r="FQ222" s="180"/>
      <c r="FR222" s="180"/>
      <c r="FS222" s="180"/>
      <c r="FT222" s="180"/>
      <c r="FU222" s="180"/>
      <c r="FV222" s="180"/>
      <c r="FW222" s="180"/>
      <c r="FX222" s="180"/>
      <c r="FY222" s="180"/>
      <c r="FZ222" s="180"/>
      <c r="GA222" s="180"/>
      <c r="GB222" s="180"/>
      <c r="GC222" s="180"/>
      <c r="GD222" s="180"/>
      <c r="GE222" s="180"/>
      <c r="GF222" s="180"/>
      <c r="GG222" s="180"/>
      <c r="GH222" s="180"/>
      <c r="GI222" s="180"/>
      <c r="GJ222" s="180"/>
      <c r="GK222" s="180"/>
      <c r="GL222" s="180"/>
      <c r="GM222" s="180"/>
      <c r="GN222" s="180"/>
      <c r="GO222" s="180"/>
      <c r="XFD222" s="104">
        <f>SUBTOTAL(9,XFD214:XFD221)</f>
        <v>0</v>
      </c>
    </row>
    <row r="223" spans="1:197 16380:16384" ht="12.75" customHeight="1" outlineLevel="1" x14ac:dyDescent="0.2">
      <c r="A223" s="493"/>
      <c r="B223" s="166"/>
      <c r="C223" s="154"/>
      <c r="D223" s="169"/>
      <c r="E223" s="320"/>
      <c r="F223" s="170"/>
      <c r="G223" s="170"/>
      <c r="H223" s="171"/>
      <c r="I223" s="172"/>
      <c r="J223" s="172"/>
      <c r="K223" s="172"/>
      <c r="L223" s="172"/>
      <c r="M223" s="172"/>
      <c r="N223" s="348"/>
      <c r="O223" s="155"/>
      <c r="P223" s="155"/>
      <c r="Q223" s="155"/>
      <c r="R223" s="155"/>
      <c r="Y223" s="104"/>
      <c r="AC223" s="521"/>
    </row>
    <row r="224" spans="1:197 16380:16384" s="126" customFormat="1" ht="12.75" customHeight="1" outlineLevel="2" x14ac:dyDescent="0.2">
      <c r="A224" s="493">
        <v>6</v>
      </c>
      <c r="B224" s="124"/>
      <c r="C224" s="125" t="s">
        <v>371</v>
      </c>
      <c r="D224" s="168" t="s">
        <v>372</v>
      </c>
      <c r="E224" s="355"/>
      <c r="F224" s="174"/>
      <c r="G224" s="174"/>
      <c r="H224" s="174"/>
      <c r="I224" s="176"/>
      <c r="J224" s="176"/>
      <c r="K224" s="176"/>
      <c r="L224" s="176"/>
      <c r="M224" s="176"/>
      <c r="N224" s="347"/>
      <c r="O224" s="175"/>
      <c r="P224" s="175"/>
      <c r="Q224" s="175"/>
      <c r="R224" s="175"/>
      <c r="Z224" s="474"/>
      <c r="AC224" s="521"/>
    </row>
    <row r="225" spans="1:215 16384:16384" ht="12.75" customHeight="1" outlineLevel="2" x14ac:dyDescent="0.2">
      <c r="A225" s="495">
        <v>6</v>
      </c>
      <c r="B225" s="127">
        <v>1</v>
      </c>
      <c r="C225" s="156" t="s">
        <v>142</v>
      </c>
      <c r="D225" s="129" t="s">
        <v>373</v>
      </c>
      <c r="E225" s="184" t="s">
        <v>374</v>
      </c>
      <c r="F225" s="135" t="s">
        <v>792</v>
      </c>
      <c r="G225" s="143" t="s">
        <v>104</v>
      </c>
      <c r="H225" s="158" t="s">
        <v>8</v>
      </c>
      <c r="I225" s="140" t="s">
        <v>168</v>
      </c>
      <c r="J225" s="140"/>
      <c r="K225" s="140"/>
      <c r="L225" s="140"/>
      <c r="M225" s="340"/>
      <c r="N225" s="302">
        <f t="shared" si="343"/>
        <v>0</v>
      </c>
      <c r="O225" s="146">
        <v>8639</v>
      </c>
      <c r="P225" s="146">
        <v>8639</v>
      </c>
      <c r="Q225" s="622">
        <v>8639</v>
      </c>
      <c r="R225" s="146">
        <v>8387</v>
      </c>
      <c r="S225" s="132">
        <f t="shared" ref="S225:S239" si="414">SUMPRODUCT(J225:M225,O225:R225)</f>
        <v>0</v>
      </c>
      <c r="T225" s="132">
        <f t="shared" ref="T225:W239" si="415">IF(O225&gt;prisgrense,J225*prisgrense,J225*O225)</f>
        <v>0</v>
      </c>
      <c r="U225" s="132">
        <f t="shared" si="415"/>
        <v>0</v>
      </c>
      <c r="V225" s="132">
        <f t="shared" si="415"/>
        <v>0</v>
      </c>
      <c r="W225" s="132">
        <f t="shared" si="415"/>
        <v>0</v>
      </c>
      <c r="X225" s="132">
        <f t="shared" ref="X225:X239" si="416">SUM(T225:W225)</f>
        <v>0</v>
      </c>
      <c r="Y225" s="104"/>
      <c r="AC225" s="521"/>
    </row>
    <row r="226" spans="1:215 16384:16384" ht="12.75" customHeight="1" outlineLevel="2" x14ac:dyDescent="0.2">
      <c r="A226" s="495">
        <v>6</v>
      </c>
      <c r="B226" s="127">
        <v>2</v>
      </c>
      <c r="C226" s="156" t="s">
        <v>142</v>
      </c>
      <c r="D226" s="129" t="s">
        <v>375</v>
      </c>
      <c r="E226" s="184" t="s">
        <v>376</v>
      </c>
      <c r="F226" s="135" t="s">
        <v>792</v>
      </c>
      <c r="G226" s="135" t="s">
        <v>104</v>
      </c>
      <c r="H226" s="158" t="s">
        <v>21</v>
      </c>
      <c r="I226" s="140" t="s">
        <v>504</v>
      </c>
      <c r="J226" s="140"/>
      <c r="K226" s="140"/>
      <c r="L226" s="140"/>
      <c r="M226" s="340"/>
      <c r="N226" s="302">
        <f t="shared" si="343"/>
        <v>0</v>
      </c>
      <c r="O226" s="146">
        <v>8354</v>
      </c>
      <c r="P226" s="146">
        <v>8354</v>
      </c>
      <c r="Q226" s="622">
        <v>8354</v>
      </c>
      <c r="R226" s="146">
        <v>8111</v>
      </c>
      <c r="S226" s="132">
        <f t="shared" si="414"/>
        <v>0</v>
      </c>
      <c r="T226" s="132">
        <f t="shared" si="415"/>
        <v>0</v>
      </c>
      <c r="U226" s="132">
        <f t="shared" si="415"/>
        <v>0</v>
      </c>
      <c r="V226" s="132">
        <f t="shared" si="415"/>
        <v>0</v>
      </c>
      <c r="W226" s="132">
        <f t="shared" si="415"/>
        <v>0</v>
      </c>
      <c r="X226" s="132">
        <f t="shared" si="416"/>
        <v>0</v>
      </c>
      <c r="Y226" s="104"/>
      <c r="AC226" s="521"/>
    </row>
    <row r="227" spans="1:215 16384:16384" ht="12.75" customHeight="1" outlineLevel="2" x14ac:dyDescent="0.2">
      <c r="A227" s="495">
        <v>6</v>
      </c>
      <c r="B227" s="147">
        <v>3</v>
      </c>
      <c r="C227" s="156" t="s">
        <v>142</v>
      </c>
      <c r="D227" s="129" t="s">
        <v>377</v>
      </c>
      <c r="E227" s="184" t="s">
        <v>378</v>
      </c>
      <c r="F227" s="135" t="s">
        <v>792</v>
      </c>
      <c r="G227" s="135" t="s">
        <v>104</v>
      </c>
      <c r="H227" s="158" t="s">
        <v>8</v>
      </c>
      <c r="I227" s="140" t="s">
        <v>68</v>
      </c>
      <c r="J227" s="140">
        <v>23</v>
      </c>
      <c r="K227" s="140"/>
      <c r="L227" s="140"/>
      <c r="M227" s="340"/>
      <c r="N227" s="302">
        <f t="shared" si="343"/>
        <v>23</v>
      </c>
      <c r="O227" s="146">
        <v>8753</v>
      </c>
      <c r="P227" s="146">
        <v>8753</v>
      </c>
      <c r="Q227" s="622">
        <v>8753</v>
      </c>
      <c r="R227" s="146">
        <v>8498</v>
      </c>
      <c r="S227" s="132">
        <f t="shared" si="414"/>
        <v>201319</v>
      </c>
      <c r="T227" s="132">
        <f t="shared" si="415"/>
        <v>111136</v>
      </c>
      <c r="U227" s="132">
        <f t="shared" si="415"/>
        <v>0</v>
      </c>
      <c r="V227" s="132">
        <f t="shared" si="415"/>
        <v>0</v>
      </c>
      <c r="W227" s="132">
        <f t="shared" si="415"/>
        <v>0</v>
      </c>
      <c r="X227" s="132">
        <f t="shared" si="416"/>
        <v>111136</v>
      </c>
      <c r="Y227" s="104"/>
      <c r="AC227" s="521"/>
    </row>
    <row r="228" spans="1:215 16384:16384" ht="12.75" customHeight="1" outlineLevel="2" x14ac:dyDescent="0.2">
      <c r="A228" s="495">
        <v>6</v>
      </c>
      <c r="B228" s="148">
        <v>4</v>
      </c>
      <c r="C228" s="156" t="s">
        <v>142</v>
      </c>
      <c r="D228" s="129" t="s">
        <v>379</v>
      </c>
      <c r="E228" s="184" t="s">
        <v>380</v>
      </c>
      <c r="F228" s="135" t="s">
        <v>792</v>
      </c>
      <c r="G228" s="135" t="s">
        <v>104</v>
      </c>
      <c r="H228" s="158" t="s">
        <v>9</v>
      </c>
      <c r="I228" s="140" t="s">
        <v>504</v>
      </c>
      <c r="J228" s="140"/>
      <c r="K228" s="140"/>
      <c r="L228" s="140"/>
      <c r="M228" s="340"/>
      <c r="N228" s="302">
        <f t="shared" si="343"/>
        <v>0</v>
      </c>
      <c r="O228" s="146">
        <v>8354</v>
      </c>
      <c r="P228" s="146">
        <v>8354</v>
      </c>
      <c r="Q228" s="622">
        <v>8354</v>
      </c>
      <c r="R228" s="146">
        <v>8111</v>
      </c>
      <c r="S228" s="132">
        <f t="shared" si="414"/>
        <v>0</v>
      </c>
      <c r="T228" s="132">
        <f t="shared" si="415"/>
        <v>0</v>
      </c>
      <c r="U228" s="132">
        <f t="shared" si="415"/>
        <v>0</v>
      </c>
      <c r="V228" s="132">
        <f t="shared" si="415"/>
        <v>0</v>
      </c>
      <c r="W228" s="132">
        <f t="shared" si="415"/>
        <v>0</v>
      </c>
      <c r="X228" s="132">
        <f t="shared" si="416"/>
        <v>0</v>
      </c>
      <c r="Y228" s="104"/>
      <c r="AC228" s="521"/>
    </row>
    <row r="229" spans="1:215 16384:16384" s="152" customFormat="1" ht="25.5" outlineLevel="2" x14ac:dyDescent="0.2">
      <c r="A229" s="495">
        <v>6</v>
      </c>
      <c r="B229" s="150">
        <v>5</v>
      </c>
      <c r="C229" s="129"/>
      <c r="D229" s="583" t="s">
        <v>946</v>
      </c>
      <c r="E229" s="184"/>
      <c r="F229" s="130" t="s">
        <v>607</v>
      </c>
      <c r="G229" s="135" t="s">
        <v>103</v>
      </c>
      <c r="H229" s="135" t="s">
        <v>9</v>
      </c>
      <c r="I229" s="129" t="s">
        <v>504</v>
      </c>
      <c r="J229" s="184"/>
      <c r="K229" s="129"/>
      <c r="L229" s="129"/>
      <c r="M229" s="141"/>
      <c r="N229" s="302">
        <f t="shared" ref="N229:N231" si="417">SUM(J229:M229)</f>
        <v>0</v>
      </c>
      <c r="O229" s="146">
        <v>7790</v>
      </c>
      <c r="P229" s="146">
        <v>7790</v>
      </c>
      <c r="Q229" s="622">
        <v>7790</v>
      </c>
      <c r="R229" s="146">
        <v>7563</v>
      </c>
      <c r="S229" s="132">
        <f t="shared" ref="S229:S231" si="418">SUMPRODUCT(J229:M229,O229:R229)</f>
        <v>0</v>
      </c>
      <c r="T229" s="132">
        <f t="shared" ref="T229:T231" si="419">IF(O229&gt;prisgrense,J229*prisgrense,J229*O229)</f>
        <v>0</v>
      </c>
      <c r="U229" s="132">
        <f t="shared" ref="U229:U231" si="420">IF(P229&gt;prisgrense,K229*prisgrense,K229*P229)</f>
        <v>0</v>
      </c>
      <c r="V229" s="132">
        <f t="shared" ref="V229:V231" si="421">IF(Q229&gt;prisgrense,L229*prisgrense,L229*Q229)</f>
        <v>0</v>
      </c>
      <c r="W229" s="132">
        <f t="shared" ref="W229:W231" si="422">IF(R229&gt;prisgrense,M229*prisgrense,M229*R229)</f>
        <v>0</v>
      </c>
      <c r="X229" s="132">
        <f t="shared" ref="X229:X231" si="423">SUM(T229:W229)</f>
        <v>0</v>
      </c>
      <c r="Y229" s="157" t="s">
        <v>866</v>
      </c>
      <c r="Z229" s="395"/>
      <c r="AC229" s="521"/>
    </row>
    <row r="230" spans="1:215 16384:16384" s="152" customFormat="1" ht="12.75" customHeight="1" outlineLevel="2" x14ac:dyDescent="0.2">
      <c r="A230" s="495">
        <v>6</v>
      </c>
      <c r="B230" s="150">
        <v>5</v>
      </c>
      <c r="C230" s="129"/>
      <c r="D230" s="129" t="s">
        <v>947</v>
      </c>
      <c r="E230" s="184"/>
      <c r="F230" s="130" t="s">
        <v>607</v>
      </c>
      <c r="G230" s="135" t="s">
        <v>103</v>
      </c>
      <c r="H230" s="135" t="s">
        <v>9</v>
      </c>
      <c r="I230" s="129" t="s">
        <v>504</v>
      </c>
      <c r="J230" s="184">
        <v>3</v>
      </c>
      <c r="K230" s="129"/>
      <c r="L230" s="129"/>
      <c r="M230" s="141"/>
      <c r="N230" s="302">
        <f t="shared" si="417"/>
        <v>3</v>
      </c>
      <c r="O230" s="146">
        <v>3246</v>
      </c>
      <c r="P230" s="146">
        <v>3246</v>
      </c>
      <c r="Q230" s="622">
        <v>3246</v>
      </c>
      <c r="R230" s="146">
        <v>3151</v>
      </c>
      <c r="S230" s="132">
        <f t="shared" si="418"/>
        <v>9738</v>
      </c>
      <c r="T230" s="132">
        <f t="shared" si="419"/>
        <v>9738</v>
      </c>
      <c r="U230" s="132">
        <f t="shared" si="420"/>
        <v>0</v>
      </c>
      <c r="V230" s="132">
        <f t="shared" si="421"/>
        <v>0</v>
      </c>
      <c r="W230" s="132">
        <f t="shared" si="422"/>
        <v>0</v>
      </c>
      <c r="X230" s="132">
        <f t="shared" si="423"/>
        <v>9738</v>
      </c>
      <c r="Y230" s="157" t="s">
        <v>866</v>
      </c>
      <c r="Z230" s="395"/>
      <c r="AC230" s="521"/>
    </row>
    <row r="231" spans="1:215 16384:16384" s="152" customFormat="1" ht="12.75" customHeight="1" outlineLevel="2" x14ac:dyDescent="0.2">
      <c r="A231" s="495">
        <v>6</v>
      </c>
      <c r="B231" s="150">
        <v>5</v>
      </c>
      <c r="C231" s="129"/>
      <c r="D231" s="129" t="s">
        <v>942</v>
      </c>
      <c r="E231" s="184"/>
      <c r="F231" s="130" t="s">
        <v>607</v>
      </c>
      <c r="G231" s="135" t="s">
        <v>103</v>
      </c>
      <c r="H231" s="135" t="s">
        <v>9</v>
      </c>
      <c r="I231" s="129" t="s">
        <v>504</v>
      </c>
      <c r="J231" s="184"/>
      <c r="K231" s="129"/>
      <c r="L231" s="129"/>
      <c r="M231" s="141"/>
      <c r="N231" s="302">
        <f t="shared" si="417"/>
        <v>0</v>
      </c>
      <c r="O231" s="146">
        <v>4544</v>
      </c>
      <c r="P231" s="146">
        <v>4544</v>
      </c>
      <c r="Q231" s="622">
        <v>4544</v>
      </c>
      <c r="R231" s="146">
        <v>4412</v>
      </c>
      <c r="S231" s="132">
        <f t="shared" si="418"/>
        <v>0</v>
      </c>
      <c r="T231" s="132">
        <f t="shared" si="419"/>
        <v>0</v>
      </c>
      <c r="U231" s="132">
        <f t="shared" si="420"/>
        <v>0</v>
      </c>
      <c r="V231" s="132">
        <f t="shared" si="421"/>
        <v>0</v>
      </c>
      <c r="W231" s="132">
        <f t="shared" si="422"/>
        <v>0</v>
      </c>
      <c r="X231" s="132">
        <f t="shared" si="423"/>
        <v>0</v>
      </c>
      <c r="Y231" s="157" t="s">
        <v>866</v>
      </c>
      <c r="Z231" s="395"/>
      <c r="AC231" s="521"/>
    </row>
    <row r="232" spans="1:215 16384:16384" s="404" customFormat="1" ht="12.75" customHeight="1" outlineLevel="2" x14ac:dyDescent="0.2">
      <c r="A232" s="495">
        <v>6</v>
      </c>
      <c r="B232" s="150">
        <v>6</v>
      </c>
      <c r="C232" s="156" t="s">
        <v>142</v>
      </c>
      <c r="D232" s="129" t="s">
        <v>383</v>
      </c>
      <c r="E232" s="184" t="s">
        <v>384</v>
      </c>
      <c r="F232" s="135" t="s">
        <v>792</v>
      </c>
      <c r="G232" s="135" t="s">
        <v>104</v>
      </c>
      <c r="H232" s="135" t="s">
        <v>8</v>
      </c>
      <c r="I232" s="129" t="s">
        <v>68</v>
      </c>
      <c r="J232" s="129"/>
      <c r="K232" s="129"/>
      <c r="L232" s="129"/>
      <c r="M232" s="141"/>
      <c r="N232" s="302">
        <f t="shared" si="343"/>
        <v>0</v>
      </c>
      <c r="O232" s="146">
        <v>8467</v>
      </c>
      <c r="P232" s="146">
        <v>8467</v>
      </c>
      <c r="Q232" s="622">
        <v>8467</v>
      </c>
      <c r="R232" s="146">
        <v>8220</v>
      </c>
      <c r="S232" s="132">
        <f t="shared" si="414"/>
        <v>0</v>
      </c>
      <c r="T232" s="132">
        <f t="shared" si="415"/>
        <v>0</v>
      </c>
      <c r="U232" s="132">
        <f t="shared" si="415"/>
        <v>0</v>
      </c>
      <c r="V232" s="132">
        <f t="shared" si="415"/>
        <v>0</v>
      </c>
      <c r="W232" s="132">
        <f t="shared" si="415"/>
        <v>0</v>
      </c>
      <c r="X232" s="132">
        <f t="shared" si="416"/>
        <v>0</v>
      </c>
      <c r="Y232" s="152"/>
      <c r="Z232" s="395"/>
      <c r="AA232" s="152"/>
      <c r="AB232" s="152"/>
      <c r="AC232" s="521"/>
      <c r="AD232" s="152"/>
      <c r="AE232" s="152"/>
      <c r="AF232" s="152"/>
      <c r="AG232" s="152"/>
      <c r="AH232" s="152"/>
      <c r="AI232" s="152"/>
      <c r="AJ232" s="152"/>
      <c r="AK232" s="152"/>
      <c r="AL232" s="152"/>
      <c r="AM232" s="152"/>
      <c r="AN232" s="152"/>
      <c r="AO232" s="152"/>
      <c r="AP232" s="152"/>
      <c r="AQ232" s="152"/>
      <c r="AR232" s="152"/>
      <c r="AS232" s="152"/>
      <c r="AT232" s="152"/>
      <c r="AU232" s="152"/>
      <c r="AV232" s="152"/>
      <c r="AW232" s="152"/>
      <c r="AX232" s="152"/>
      <c r="AY232" s="152"/>
      <c r="AZ232" s="152"/>
      <c r="BA232" s="152"/>
      <c r="BB232" s="152"/>
      <c r="BC232" s="152"/>
      <c r="BD232" s="152"/>
      <c r="BE232" s="152"/>
      <c r="BF232" s="152"/>
      <c r="BG232" s="152"/>
      <c r="BH232" s="152"/>
      <c r="BI232" s="152"/>
      <c r="BJ232" s="152"/>
      <c r="BK232" s="152"/>
      <c r="BL232" s="152"/>
      <c r="BM232" s="152"/>
      <c r="BN232" s="152"/>
      <c r="BO232" s="152"/>
      <c r="BP232" s="152"/>
      <c r="BQ232" s="152"/>
      <c r="BR232" s="152"/>
      <c r="BS232" s="152"/>
      <c r="BT232" s="152"/>
      <c r="BU232" s="152"/>
      <c r="BV232" s="152"/>
      <c r="BW232" s="152"/>
      <c r="BX232" s="152"/>
      <c r="BY232" s="152"/>
      <c r="BZ232" s="152"/>
      <c r="CA232" s="152"/>
      <c r="CB232" s="152"/>
      <c r="CC232" s="152"/>
      <c r="CD232" s="152"/>
      <c r="CE232" s="152"/>
      <c r="CF232" s="152"/>
      <c r="CG232" s="152"/>
      <c r="CH232" s="152"/>
      <c r="CI232" s="152"/>
      <c r="CJ232" s="152"/>
      <c r="CK232" s="152"/>
      <c r="CL232" s="152"/>
      <c r="CM232" s="152"/>
      <c r="CN232" s="152"/>
      <c r="CO232" s="152"/>
      <c r="CP232" s="152"/>
      <c r="CQ232" s="152"/>
      <c r="CR232" s="152"/>
      <c r="CS232" s="152"/>
      <c r="CT232" s="152"/>
      <c r="CU232" s="152"/>
      <c r="CV232" s="152"/>
      <c r="CW232" s="152"/>
      <c r="CX232" s="152"/>
      <c r="CY232" s="152"/>
      <c r="CZ232" s="152"/>
      <c r="DA232" s="152"/>
      <c r="DB232" s="152"/>
      <c r="DC232" s="152"/>
      <c r="DD232" s="152"/>
      <c r="DE232" s="152"/>
      <c r="DF232" s="152"/>
      <c r="DG232" s="152"/>
      <c r="DH232" s="152"/>
      <c r="DI232" s="152"/>
      <c r="DJ232" s="152"/>
      <c r="DK232" s="152"/>
      <c r="DL232" s="152"/>
      <c r="DM232" s="152"/>
      <c r="DN232" s="152"/>
      <c r="DO232" s="152"/>
      <c r="DP232" s="152"/>
      <c r="DQ232" s="152"/>
      <c r="DR232" s="152"/>
      <c r="DS232" s="152"/>
      <c r="DT232" s="152"/>
      <c r="DU232" s="152"/>
      <c r="DV232" s="152"/>
      <c r="DW232" s="152"/>
      <c r="DX232" s="152"/>
      <c r="DY232" s="152"/>
      <c r="DZ232" s="152"/>
      <c r="EA232" s="152"/>
      <c r="EB232" s="152"/>
      <c r="EC232" s="152"/>
      <c r="ED232" s="152"/>
      <c r="EE232" s="152"/>
      <c r="EF232" s="152"/>
      <c r="EG232" s="152"/>
      <c r="EH232" s="152"/>
      <c r="EI232" s="152"/>
      <c r="EJ232" s="152"/>
      <c r="EK232" s="152"/>
      <c r="EL232" s="152"/>
      <c r="EM232" s="152"/>
      <c r="EN232" s="152"/>
      <c r="EO232" s="152"/>
      <c r="EP232" s="152"/>
      <c r="EQ232" s="152"/>
      <c r="ER232" s="152"/>
      <c r="ES232" s="152"/>
      <c r="ET232" s="152"/>
      <c r="EU232" s="152"/>
      <c r="EV232" s="152"/>
      <c r="EW232" s="152"/>
      <c r="EX232" s="152"/>
      <c r="EY232" s="152"/>
      <c r="EZ232" s="152"/>
      <c r="FA232" s="152"/>
      <c r="FB232" s="152"/>
      <c r="FC232" s="152"/>
      <c r="FD232" s="152"/>
      <c r="FE232" s="152"/>
      <c r="FF232" s="152"/>
      <c r="FG232" s="152"/>
      <c r="FH232" s="152"/>
      <c r="FI232" s="152"/>
      <c r="FJ232" s="152"/>
      <c r="FK232" s="152"/>
      <c r="FL232" s="152"/>
      <c r="FM232" s="152"/>
      <c r="FN232" s="152"/>
      <c r="FO232" s="152"/>
      <c r="FP232" s="152"/>
      <c r="FQ232" s="152"/>
      <c r="FR232" s="152"/>
      <c r="FS232" s="152"/>
      <c r="FT232" s="152"/>
      <c r="FU232" s="152"/>
      <c r="FV232" s="152"/>
      <c r="FW232" s="152"/>
      <c r="FX232" s="152"/>
      <c r="FY232" s="152"/>
      <c r="FZ232" s="152"/>
      <c r="GA232" s="152"/>
      <c r="GB232" s="152"/>
      <c r="GC232" s="152"/>
      <c r="GD232" s="152"/>
      <c r="GE232" s="152"/>
      <c r="GF232" s="152"/>
      <c r="GG232" s="152"/>
      <c r="GH232" s="152"/>
      <c r="GI232" s="152"/>
      <c r="GJ232" s="152"/>
      <c r="GK232" s="152"/>
      <c r="GL232" s="152"/>
      <c r="GM232" s="152"/>
      <c r="GN232" s="152"/>
      <c r="GO232" s="152"/>
      <c r="GP232" s="152"/>
      <c r="GQ232" s="152"/>
      <c r="GR232" s="152"/>
      <c r="GS232" s="152"/>
      <c r="GT232" s="152"/>
      <c r="GU232" s="152"/>
      <c r="GV232" s="152"/>
      <c r="GW232" s="152"/>
      <c r="GX232" s="152"/>
      <c r="GY232" s="152"/>
      <c r="GZ232" s="152"/>
      <c r="HA232" s="152"/>
      <c r="HB232" s="152"/>
      <c r="HC232" s="152"/>
      <c r="HD232" s="152"/>
      <c r="HE232" s="152"/>
      <c r="HF232" s="152"/>
      <c r="HG232" s="152"/>
    </row>
    <row r="233" spans="1:215 16384:16384" s="152" customFormat="1" ht="12.75" customHeight="1" outlineLevel="2" x14ac:dyDescent="0.2">
      <c r="A233" s="495">
        <v>6</v>
      </c>
      <c r="B233" s="150">
        <v>7</v>
      </c>
      <c r="C233" s="129"/>
      <c r="D233" s="129" t="s">
        <v>756</v>
      </c>
      <c r="E233" s="184" t="s">
        <v>548</v>
      </c>
      <c r="F233" s="130" t="s">
        <v>607</v>
      </c>
      <c r="G233" s="135" t="s">
        <v>103</v>
      </c>
      <c r="H233" s="135" t="s">
        <v>8</v>
      </c>
      <c r="I233" s="129" t="s">
        <v>168</v>
      </c>
      <c r="J233" s="129"/>
      <c r="K233" s="129"/>
      <c r="L233" s="129"/>
      <c r="M233" s="141"/>
      <c r="N233" s="302">
        <f t="shared" ref="N233:N235" si="424">SUM(J233:M233)</f>
        <v>0</v>
      </c>
      <c r="O233" s="146">
        <v>7830</v>
      </c>
      <c r="P233" s="146">
        <v>7830</v>
      </c>
      <c r="Q233" s="622">
        <v>7830</v>
      </c>
      <c r="R233" s="146">
        <v>7602</v>
      </c>
      <c r="S233" s="132">
        <f t="shared" ref="S233:S235" si="425">SUMPRODUCT(J233:M233,O233:R233)</f>
        <v>0</v>
      </c>
      <c r="T233" s="132">
        <f t="shared" ref="T233:T235" si="426">IF(O233&gt;prisgrense,J233*prisgrense,J233*O233)</f>
        <v>0</v>
      </c>
      <c r="U233" s="132">
        <f t="shared" ref="U233:U235" si="427">IF(P233&gt;prisgrense,K233*prisgrense,K233*P233)</f>
        <v>0</v>
      </c>
      <c r="V233" s="132">
        <f t="shared" ref="V233:V235" si="428">IF(Q233&gt;prisgrense,L233*prisgrense,L233*Q233)</f>
        <v>0</v>
      </c>
      <c r="W233" s="132">
        <f t="shared" ref="W233:W235" si="429">IF(R233&gt;prisgrense,M233*prisgrense,M233*R233)</f>
        <v>0</v>
      </c>
      <c r="X233" s="132">
        <f t="shared" ref="X233:X235" si="430">SUM(T233:W233)</f>
        <v>0</v>
      </c>
      <c r="Y233" s="157" t="s">
        <v>755</v>
      </c>
      <c r="Z233" s="395"/>
      <c r="AC233" s="521"/>
    </row>
    <row r="234" spans="1:215 16384:16384" s="152" customFormat="1" ht="12.75" customHeight="1" outlineLevel="2" x14ac:dyDescent="0.2">
      <c r="A234" s="495">
        <v>6</v>
      </c>
      <c r="B234" s="150">
        <v>7</v>
      </c>
      <c r="C234" s="129"/>
      <c r="D234" s="129" t="s">
        <v>757</v>
      </c>
      <c r="E234" s="184" t="s">
        <v>758</v>
      </c>
      <c r="F234" s="130" t="s">
        <v>607</v>
      </c>
      <c r="G234" s="135" t="s">
        <v>103</v>
      </c>
      <c r="H234" s="135" t="s">
        <v>8</v>
      </c>
      <c r="I234" s="129" t="s">
        <v>168</v>
      </c>
      <c r="J234" s="129">
        <v>86</v>
      </c>
      <c r="K234" s="129"/>
      <c r="L234" s="129"/>
      <c r="M234" s="141"/>
      <c r="N234" s="302">
        <f t="shared" si="424"/>
        <v>86</v>
      </c>
      <c r="O234" s="146">
        <v>3030</v>
      </c>
      <c r="P234" s="146">
        <v>3030</v>
      </c>
      <c r="Q234" s="622">
        <v>3030</v>
      </c>
      <c r="R234" s="146">
        <v>2942</v>
      </c>
      <c r="S234" s="132">
        <f t="shared" si="425"/>
        <v>260580</v>
      </c>
      <c r="T234" s="132">
        <f t="shared" si="426"/>
        <v>260580</v>
      </c>
      <c r="U234" s="132">
        <f t="shared" si="427"/>
        <v>0</v>
      </c>
      <c r="V234" s="132">
        <f t="shared" si="428"/>
        <v>0</v>
      </c>
      <c r="W234" s="132">
        <f t="shared" si="429"/>
        <v>0</v>
      </c>
      <c r="X234" s="132">
        <f t="shared" si="430"/>
        <v>260580</v>
      </c>
      <c r="Y234" s="157" t="s">
        <v>755</v>
      </c>
      <c r="Z234" s="395"/>
      <c r="AC234" s="521"/>
    </row>
    <row r="235" spans="1:215 16384:16384" s="152" customFormat="1" ht="12.75" customHeight="1" outlineLevel="2" x14ac:dyDescent="0.2">
      <c r="A235" s="495">
        <v>6</v>
      </c>
      <c r="B235" s="150">
        <v>7</v>
      </c>
      <c r="C235" s="129"/>
      <c r="D235" s="129" t="s">
        <v>759</v>
      </c>
      <c r="E235" s="184" t="s">
        <v>760</v>
      </c>
      <c r="F235" s="130" t="s">
        <v>607</v>
      </c>
      <c r="G235" s="135" t="s">
        <v>103</v>
      </c>
      <c r="H235" s="135" t="s">
        <v>8</v>
      </c>
      <c r="I235" s="129" t="s">
        <v>168</v>
      </c>
      <c r="J235" s="129">
        <v>317</v>
      </c>
      <c r="K235" s="129"/>
      <c r="L235" s="129"/>
      <c r="M235" s="141"/>
      <c r="N235" s="302">
        <f t="shared" si="424"/>
        <v>317</v>
      </c>
      <c r="O235" s="146">
        <v>4800</v>
      </c>
      <c r="P235" s="146">
        <v>4800</v>
      </c>
      <c r="Q235" s="622">
        <v>4800</v>
      </c>
      <c r="R235" s="146">
        <v>4660</v>
      </c>
      <c r="S235" s="132">
        <f t="shared" si="425"/>
        <v>1521600</v>
      </c>
      <c r="T235" s="132">
        <f t="shared" si="426"/>
        <v>1521600</v>
      </c>
      <c r="U235" s="132">
        <f t="shared" si="427"/>
        <v>0</v>
      </c>
      <c r="V235" s="132">
        <f t="shared" si="428"/>
        <v>0</v>
      </c>
      <c r="W235" s="132">
        <f t="shared" si="429"/>
        <v>0</v>
      </c>
      <c r="X235" s="132">
        <f t="shared" si="430"/>
        <v>1521600</v>
      </c>
      <c r="Y235" s="157" t="s">
        <v>755</v>
      </c>
      <c r="Z235" s="395"/>
      <c r="AC235" s="521"/>
    </row>
    <row r="236" spans="1:215 16384:16384" s="152" customFormat="1" ht="12.75" customHeight="1" outlineLevel="2" x14ac:dyDescent="0.2">
      <c r="A236" s="495">
        <v>6</v>
      </c>
      <c r="B236" s="150">
        <v>8</v>
      </c>
      <c r="C236" s="129"/>
      <c r="D236" s="129" t="s">
        <v>948</v>
      </c>
      <c r="E236" s="184"/>
      <c r="F236" s="130" t="s">
        <v>607</v>
      </c>
      <c r="G236" s="135"/>
      <c r="H236" s="135" t="s">
        <v>8</v>
      </c>
      <c r="I236" s="129" t="s">
        <v>168</v>
      </c>
      <c r="J236" s="129"/>
      <c r="K236" s="129"/>
      <c r="L236" s="129"/>
      <c r="M236" s="141"/>
      <c r="N236" s="302">
        <f t="shared" ref="N236:N238" si="431">SUM(J236:M236)</f>
        <v>0</v>
      </c>
      <c r="O236" s="146">
        <v>7790</v>
      </c>
      <c r="P236" s="146">
        <v>7790</v>
      </c>
      <c r="Q236" s="622">
        <v>7790</v>
      </c>
      <c r="R236" s="146">
        <v>7563</v>
      </c>
      <c r="S236" s="132">
        <f t="shared" ref="S236:S238" si="432">SUMPRODUCT(J236:M236,O236:R236)</f>
        <v>0</v>
      </c>
      <c r="T236" s="132">
        <f t="shared" ref="T236:T238" si="433">IF(O236&gt;prisgrense,J236*prisgrense,J236*O236)</f>
        <v>0</v>
      </c>
      <c r="U236" s="132">
        <f t="shared" ref="U236:U238" si="434">IF(P236&gt;prisgrense,K236*prisgrense,K236*P236)</f>
        <v>0</v>
      </c>
      <c r="V236" s="132">
        <f t="shared" ref="V236:V238" si="435">IF(Q236&gt;prisgrense,L236*prisgrense,L236*Q236)</f>
        <v>0</v>
      </c>
      <c r="W236" s="132">
        <f t="shared" ref="W236:W238" si="436">IF(R236&gt;prisgrense,M236*prisgrense,M236*R236)</f>
        <v>0</v>
      </c>
      <c r="X236" s="132">
        <f t="shared" ref="X236:X238" si="437">SUM(T236:W236)</f>
        <v>0</v>
      </c>
      <c r="Y236" s="157" t="s">
        <v>866</v>
      </c>
      <c r="Z236" s="395"/>
      <c r="AC236" s="521"/>
    </row>
    <row r="237" spans="1:215 16384:16384" s="152" customFormat="1" ht="12.75" customHeight="1" outlineLevel="2" x14ac:dyDescent="0.2">
      <c r="A237" s="495">
        <v>6</v>
      </c>
      <c r="B237" s="150">
        <v>8</v>
      </c>
      <c r="C237" s="129"/>
      <c r="D237" s="129" t="s">
        <v>949</v>
      </c>
      <c r="E237" s="184"/>
      <c r="F237" s="130" t="s">
        <v>607</v>
      </c>
      <c r="G237" s="135"/>
      <c r="H237" s="135" t="s">
        <v>8</v>
      </c>
      <c r="I237" s="129" t="s">
        <v>168</v>
      </c>
      <c r="J237" s="129">
        <v>48</v>
      </c>
      <c r="K237" s="129"/>
      <c r="L237" s="129"/>
      <c r="M237" s="141"/>
      <c r="N237" s="302">
        <f t="shared" si="431"/>
        <v>48</v>
      </c>
      <c r="O237" s="146">
        <v>3246</v>
      </c>
      <c r="P237" s="146">
        <v>3246</v>
      </c>
      <c r="Q237" s="622">
        <v>3246</v>
      </c>
      <c r="R237" s="146">
        <v>3151</v>
      </c>
      <c r="S237" s="132">
        <f t="shared" si="432"/>
        <v>155808</v>
      </c>
      <c r="T237" s="132">
        <f t="shared" si="433"/>
        <v>155808</v>
      </c>
      <c r="U237" s="132">
        <f t="shared" si="434"/>
        <v>0</v>
      </c>
      <c r="V237" s="132">
        <f t="shared" si="435"/>
        <v>0</v>
      </c>
      <c r="W237" s="132">
        <f t="shared" si="436"/>
        <v>0</v>
      </c>
      <c r="X237" s="132">
        <f t="shared" si="437"/>
        <v>155808</v>
      </c>
      <c r="Y237" s="157" t="s">
        <v>866</v>
      </c>
      <c r="Z237" s="395"/>
      <c r="AC237" s="521"/>
    </row>
    <row r="238" spans="1:215 16384:16384" s="152" customFormat="1" ht="12.75" customHeight="1" outlineLevel="2" x14ac:dyDescent="0.2">
      <c r="A238" s="495">
        <v>6</v>
      </c>
      <c r="B238" s="150">
        <v>8</v>
      </c>
      <c r="C238" s="129"/>
      <c r="D238" s="129" t="s">
        <v>788</v>
      </c>
      <c r="E238" s="184"/>
      <c r="F238" s="130" t="s">
        <v>607</v>
      </c>
      <c r="G238" s="135"/>
      <c r="H238" s="135" t="s">
        <v>8</v>
      </c>
      <c r="I238" s="129" t="s">
        <v>168</v>
      </c>
      <c r="J238" s="129">
        <v>472</v>
      </c>
      <c r="K238" s="129"/>
      <c r="L238" s="129"/>
      <c r="M238" s="141"/>
      <c r="N238" s="302">
        <f t="shared" si="431"/>
        <v>472</v>
      </c>
      <c r="O238" s="146">
        <v>4544</v>
      </c>
      <c r="P238" s="146">
        <v>4544</v>
      </c>
      <c r="Q238" s="622">
        <v>4544</v>
      </c>
      <c r="R238" s="146">
        <v>4412</v>
      </c>
      <c r="S238" s="132">
        <f t="shared" si="432"/>
        <v>2144768</v>
      </c>
      <c r="T238" s="132">
        <f t="shared" si="433"/>
        <v>2144768</v>
      </c>
      <c r="U238" s="132">
        <f t="shared" si="434"/>
        <v>0</v>
      </c>
      <c r="V238" s="132">
        <f t="shared" si="435"/>
        <v>0</v>
      </c>
      <c r="W238" s="132">
        <f t="shared" si="436"/>
        <v>0</v>
      </c>
      <c r="X238" s="132">
        <f t="shared" si="437"/>
        <v>2144768</v>
      </c>
      <c r="Y238" s="157" t="s">
        <v>866</v>
      </c>
      <c r="Z238" s="395"/>
      <c r="AC238" s="521"/>
    </row>
    <row r="239" spans="1:215 16384:16384" ht="12.75" customHeight="1" outlineLevel="2" x14ac:dyDescent="0.2">
      <c r="A239" s="495">
        <v>6</v>
      </c>
      <c r="B239" s="127">
        <v>9</v>
      </c>
      <c r="C239" s="156" t="s">
        <v>142</v>
      </c>
      <c r="D239" s="129" t="s">
        <v>389</v>
      </c>
      <c r="E239" s="184" t="s">
        <v>390</v>
      </c>
      <c r="F239" s="135" t="s">
        <v>792</v>
      </c>
      <c r="G239" s="135" t="s">
        <v>104</v>
      </c>
      <c r="H239" s="136" t="s">
        <v>8</v>
      </c>
      <c r="I239" s="134" t="s">
        <v>168</v>
      </c>
      <c r="J239" s="134">
        <v>2</v>
      </c>
      <c r="K239" s="134"/>
      <c r="L239" s="134"/>
      <c r="M239" s="177"/>
      <c r="N239" s="302">
        <f t="shared" si="343"/>
        <v>2</v>
      </c>
      <c r="O239" s="146">
        <v>8753</v>
      </c>
      <c r="P239" s="146">
        <v>8753</v>
      </c>
      <c r="Q239" s="622">
        <v>8753</v>
      </c>
      <c r="R239" s="146">
        <v>8498</v>
      </c>
      <c r="S239" s="132">
        <f t="shared" si="414"/>
        <v>17506</v>
      </c>
      <c r="T239" s="132">
        <f t="shared" si="415"/>
        <v>9664</v>
      </c>
      <c r="U239" s="132">
        <f t="shared" si="415"/>
        <v>0</v>
      </c>
      <c r="V239" s="132">
        <f t="shared" si="415"/>
        <v>0</v>
      </c>
      <c r="W239" s="132">
        <f t="shared" si="415"/>
        <v>0</v>
      </c>
      <c r="X239" s="132">
        <f t="shared" si="416"/>
        <v>9664</v>
      </c>
      <c r="Y239" s="104"/>
      <c r="AC239" s="521"/>
    </row>
    <row r="240" spans="1:215 16384:16384" ht="12.75" customHeight="1" outlineLevel="1" x14ac:dyDescent="0.2">
      <c r="A240" s="498" t="s">
        <v>561</v>
      </c>
      <c r="B240" s="166"/>
      <c r="C240" s="203"/>
      <c r="D240" s="154" t="s">
        <v>372</v>
      </c>
      <c r="E240" s="320"/>
      <c r="F240" s="170"/>
      <c r="G240" s="170"/>
      <c r="H240" s="171"/>
      <c r="I240" s="172"/>
      <c r="J240" s="172">
        <f>SUBTOTAL(9,J224:J239)</f>
        <v>951</v>
      </c>
      <c r="K240" s="172">
        <f>SUBTOTAL(9,K224:K239)</f>
        <v>0</v>
      </c>
      <c r="L240" s="172">
        <f>SUBTOTAL(9,L224:L239)</f>
        <v>0</v>
      </c>
      <c r="M240" s="172">
        <f>SUBTOTAL(9,M224:M239)</f>
        <v>0</v>
      </c>
      <c r="N240" s="348">
        <f>SUBTOTAL(9,N224:N239)</f>
        <v>951</v>
      </c>
      <c r="O240" s="172"/>
      <c r="P240" s="172"/>
      <c r="Q240" s="154"/>
      <c r="R240" s="154"/>
      <c r="S240" s="400">
        <f t="shared" ref="S240:X240" si="438">SUBTOTAL(9,S224:S239)</f>
        <v>4311319</v>
      </c>
      <c r="T240" s="400">
        <f t="shared" si="438"/>
        <v>4213294</v>
      </c>
      <c r="U240" s="400">
        <f t="shared" si="438"/>
        <v>0</v>
      </c>
      <c r="V240" s="400">
        <f t="shared" si="438"/>
        <v>0</v>
      </c>
      <c r="W240" s="400">
        <f t="shared" si="438"/>
        <v>0</v>
      </c>
      <c r="X240" s="400">
        <f t="shared" si="438"/>
        <v>4213294</v>
      </c>
      <c r="Y240" s="104"/>
      <c r="AC240" s="521"/>
      <c r="XFD240" s="104">
        <f>SUBTOTAL(9,XFD224:XFD239)</f>
        <v>0</v>
      </c>
    </row>
    <row r="241" spans="1:197" ht="12.75" customHeight="1" outlineLevel="1" x14ac:dyDescent="0.2">
      <c r="A241" s="493"/>
      <c r="B241" s="166"/>
      <c r="C241" s="154"/>
      <c r="D241" s="169"/>
      <c r="E241" s="320"/>
      <c r="F241" s="170"/>
      <c r="G241" s="170"/>
      <c r="H241" s="171"/>
      <c r="I241" s="172"/>
      <c r="J241" s="172"/>
      <c r="K241" s="172"/>
      <c r="L241" s="172"/>
      <c r="M241" s="172"/>
      <c r="N241" s="348"/>
      <c r="O241" s="155"/>
      <c r="P241" s="155"/>
      <c r="Q241" s="155"/>
      <c r="R241" s="155"/>
      <c r="Y241" s="104"/>
      <c r="AC241" s="521"/>
    </row>
    <row r="242" spans="1:197" s="126" customFormat="1" ht="12.75" customHeight="1" outlineLevel="2" x14ac:dyDescent="0.2">
      <c r="A242" s="493">
        <v>7</v>
      </c>
      <c r="B242" s="124"/>
      <c r="C242" s="125" t="s">
        <v>391</v>
      </c>
      <c r="D242" s="168" t="s">
        <v>392</v>
      </c>
      <c r="E242" s="355"/>
      <c r="F242" s="174"/>
      <c r="G242" s="174"/>
      <c r="H242" s="174"/>
      <c r="I242" s="176"/>
      <c r="J242" s="176"/>
      <c r="K242" s="176"/>
      <c r="L242" s="176"/>
      <c r="M242" s="176"/>
      <c r="N242" s="347"/>
      <c r="O242" s="175"/>
      <c r="P242" s="175"/>
      <c r="Q242" s="175"/>
      <c r="R242" s="175"/>
      <c r="Z242" s="474"/>
      <c r="AC242" s="521"/>
    </row>
    <row r="243" spans="1:197" ht="12.75" customHeight="1" outlineLevel="2" x14ac:dyDescent="0.2">
      <c r="A243" s="495">
        <v>7</v>
      </c>
      <c r="B243" s="127">
        <v>1</v>
      </c>
      <c r="C243" s="129"/>
      <c r="D243" s="129" t="s">
        <v>625</v>
      </c>
      <c r="E243" s="184" t="s">
        <v>626</v>
      </c>
      <c r="F243" s="130" t="s">
        <v>607</v>
      </c>
      <c r="G243" s="137" t="s">
        <v>103</v>
      </c>
      <c r="H243" s="136" t="s">
        <v>8</v>
      </c>
      <c r="I243" s="134" t="s">
        <v>128</v>
      </c>
      <c r="J243" s="134"/>
      <c r="K243" s="134"/>
      <c r="L243" s="134"/>
      <c r="M243" s="177"/>
      <c r="N243" s="302">
        <f t="shared" ref="N243" si="439">SUM(J243:M243)</f>
        <v>0</v>
      </c>
      <c r="O243" s="146">
        <v>757</v>
      </c>
      <c r="P243" s="146">
        <v>757</v>
      </c>
      <c r="Q243" s="622">
        <v>757</v>
      </c>
      <c r="R243" s="146">
        <v>735</v>
      </c>
      <c r="S243" s="132">
        <f t="shared" ref="S243" si="440">SUMPRODUCT(J243:M243,O243:R243)</f>
        <v>0</v>
      </c>
      <c r="T243" s="132">
        <f t="shared" ref="T243" si="441">IF(O243&gt;prisgrense,J243*prisgrense,J243*O243)</f>
        <v>0</v>
      </c>
      <c r="U243" s="132">
        <f t="shared" ref="U243" si="442">IF(P243&gt;prisgrense,K243*prisgrense,K243*P243)</f>
        <v>0</v>
      </c>
      <c r="V243" s="132">
        <f t="shared" ref="V243" si="443">IF(Q243&gt;prisgrense,L243*prisgrense,L243*Q243)</f>
        <v>0</v>
      </c>
      <c r="W243" s="132">
        <f t="shared" ref="W243" si="444">IF(R243&gt;prisgrense,M243*prisgrense,M243*R243)</f>
        <v>0</v>
      </c>
      <c r="X243" s="132">
        <f t="shared" ref="X243" si="445">SUM(T243:W243)</f>
        <v>0</v>
      </c>
      <c r="Y243" s="139" t="s">
        <v>624</v>
      </c>
      <c r="AC243" s="521"/>
    </row>
    <row r="244" spans="1:197" ht="12.75" customHeight="1" outlineLevel="2" x14ac:dyDescent="0.2">
      <c r="A244" s="495">
        <v>7</v>
      </c>
      <c r="B244" s="127">
        <v>2</v>
      </c>
      <c r="C244" s="129" t="s">
        <v>147</v>
      </c>
      <c r="D244" s="129" t="s">
        <v>283</v>
      </c>
      <c r="E244" s="184" t="s">
        <v>284</v>
      </c>
      <c r="F244" s="130" t="s">
        <v>106</v>
      </c>
      <c r="G244" s="131" t="s">
        <v>107</v>
      </c>
      <c r="H244" s="133" t="s">
        <v>8</v>
      </c>
      <c r="I244" s="134" t="s">
        <v>168</v>
      </c>
      <c r="J244" s="134"/>
      <c r="K244" s="134"/>
      <c r="L244" s="134"/>
      <c r="M244" s="177"/>
      <c r="N244" s="302">
        <f t="shared" si="343"/>
        <v>0</v>
      </c>
      <c r="O244" s="146">
        <v>2706</v>
      </c>
      <c r="P244" s="146">
        <v>2706</v>
      </c>
      <c r="Q244" s="622">
        <v>2706</v>
      </c>
      <c r="R244" s="146">
        <v>2627</v>
      </c>
      <c r="S244" s="132">
        <f t="shared" ref="S244:S271" si="446">SUMPRODUCT(J244:M244,O244:R244)</f>
        <v>0</v>
      </c>
      <c r="T244" s="132">
        <f t="shared" ref="T244:W271" si="447">IF(O244&gt;prisgrense,J244*prisgrense,J244*O244)</f>
        <v>0</v>
      </c>
      <c r="U244" s="132">
        <f t="shared" si="447"/>
        <v>0</v>
      </c>
      <c r="V244" s="132">
        <f t="shared" si="447"/>
        <v>0</v>
      </c>
      <c r="W244" s="132">
        <f t="shared" si="447"/>
        <v>0</v>
      </c>
      <c r="X244" s="132">
        <f t="shared" ref="X244:X271" si="448">SUM(T244:W244)</f>
        <v>0</v>
      </c>
      <c r="Y244" s="104"/>
      <c r="AC244" s="521"/>
    </row>
    <row r="245" spans="1:197" ht="12.75" customHeight="1" outlineLevel="2" x14ac:dyDescent="0.2">
      <c r="A245" s="495">
        <v>7</v>
      </c>
      <c r="B245" s="127">
        <v>3</v>
      </c>
      <c r="C245" s="129"/>
      <c r="D245" s="129" t="s">
        <v>627</v>
      </c>
      <c r="E245" s="184" t="s">
        <v>628</v>
      </c>
      <c r="F245" s="130" t="s">
        <v>607</v>
      </c>
      <c r="G245" s="137" t="s">
        <v>103</v>
      </c>
      <c r="H245" s="136" t="s">
        <v>8</v>
      </c>
      <c r="I245" s="134" t="s">
        <v>128</v>
      </c>
      <c r="J245" s="134"/>
      <c r="K245" s="134"/>
      <c r="L245" s="134"/>
      <c r="M245" s="177"/>
      <c r="N245" s="302">
        <f t="shared" ref="N245" si="449">SUM(J245:M245)</f>
        <v>0</v>
      </c>
      <c r="O245" s="146">
        <v>757</v>
      </c>
      <c r="P245" s="146">
        <v>757</v>
      </c>
      <c r="Q245" s="622">
        <v>757</v>
      </c>
      <c r="R245" s="146">
        <v>735</v>
      </c>
      <c r="S245" s="132">
        <f t="shared" ref="S245" si="450">SUMPRODUCT(J245:M245,O245:R245)</f>
        <v>0</v>
      </c>
      <c r="T245" s="132">
        <f t="shared" ref="T245" si="451">IF(O245&gt;prisgrense,J245*prisgrense,J245*O245)</f>
        <v>0</v>
      </c>
      <c r="U245" s="132">
        <f t="shared" ref="U245" si="452">IF(P245&gt;prisgrense,K245*prisgrense,K245*P245)</f>
        <v>0</v>
      </c>
      <c r="V245" s="132">
        <f t="shared" ref="V245" si="453">IF(Q245&gt;prisgrense,L245*prisgrense,L245*Q245)</f>
        <v>0</v>
      </c>
      <c r="W245" s="132">
        <f t="shared" ref="W245" si="454">IF(R245&gt;prisgrense,M245*prisgrense,M245*R245)</f>
        <v>0</v>
      </c>
      <c r="X245" s="132">
        <f t="shared" ref="X245" si="455">SUM(T245:W245)</f>
        <v>0</v>
      </c>
      <c r="Y245" s="139" t="s">
        <v>624</v>
      </c>
      <c r="AC245" s="521"/>
    </row>
    <row r="246" spans="1:197" ht="12.75" customHeight="1" outlineLevel="2" x14ac:dyDescent="0.2">
      <c r="A246" s="495">
        <v>7</v>
      </c>
      <c r="B246" s="127">
        <v>4</v>
      </c>
      <c r="C246" s="129" t="s">
        <v>302</v>
      </c>
      <c r="D246" s="129" t="s">
        <v>309</v>
      </c>
      <c r="E246" s="184" t="s">
        <v>284</v>
      </c>
      <c r="F246" s="130" t="s">
        <v>106</v>
      </c>
      <c r="G246" s="143" t="s">
        <v>107</v>
      </c>
      <c r="H246" s="133" t="s">
        <v>8</v>
      </c>
      <c r="I246" s="134" t="s">
        <v>168</v>
      </c>
      <c r="J246" s="134"/>
      <c r="K246" s="134"/>
      <c r="L246" s="134"/>
      <c r="M246" s="177"/>
      <c r="N246" s="302">
        <f t="shared" si="343"/>
        <v>0</v>
      </c>
      <c r="O246" s="146">
        <v>3030</v>
      </c>
      <c r="P246" s="146">
        <v>3030</v>
      </c>
      <c r="Q246" s="622">
        <v>3030</v>
      </c>
      <c r="R246" s="146">
        <v>2942</v>
      </c>
      <c r="S246" s="132">
        <f t="shared" si="446"/>
        <v>0</v>
      </c>
      <c r="T246" s="132">
        <f t="shared" si="447"/>
        <v>0</v>
      </c>
      <c r="U246" s="132">
        <f t="shared" si="447"/>
        <v>0</v>
      </c>
      <c r="V246" s="132">
        <f t="shared" si="447"/>
        <v>0</v>
      </c>
      <c r="W246" s="132">
        <f t="shared" si="447"/>
        <v>0</v>
      </c>
      <c r="X246" s="132">
        <f t="shared" si="448"/>
        <v>0</v>
      </c>
      <c r="Y246" s="104"/>
      <c r="AC246" s="521"/>
    </row>
    <row r="247" spans="1:197" ht="12.75" customHeight="1" outlineLevel="2" x14ac:dyDescent="0.2">
      <c r="A247" s="495">
        <v>7</v>
      </c>
      <c r="B247" s="127">
        <v>5</v>
      </c>
      <c r="C247" s="129" t="s">
        <v>288</v>
      </c>
      <c r="D247" s="129" t="s">
        <v>289</v>
      </c>
      <c r="E247" s="184" t="s">
        <v>290</v>
      </c>
      <c r="F247" s="135" t="s">
        <v>109</v>
      </c>
      <c r="G247" s="135" t="s">
        <v>291</v>
      </c>
      <c r="H247" s="136" t="s">
        <v>8</v>
      </c>
      <c r="I247" s="134" t="s">
        <v>168</v>
      </c>
      <c r="J247" s="134"/>
      <c r="K247" s="134"/>
      <c r="L247" s="134"/>
      <c r="M247" s="177"/>
      <c r="N247" s="302">
        <f t="shared" si="343"/>
        <v>0</v>
      </c>
      <c r="O247" s="146">
        <v>2597</v>
      </c>
      <c r="P247" s="146">
        <v>2597</v>
      </c>
      <c r="Q247" s="622">
        <v>2597</v>
      </c>
      <c r="R247" s="146">
        <v>2521</v>
      </c>
      <c r="S247" s="132">
        <f t="shared" si="446"/>
        <v>0</v>
      </c>
      <c r="T247" s="132">
        <f t="shared" si="447"/>
        <v>0</v>
      </c>
      <c r="U247" s="132">
        <f t="shared" si="447"/>
        <v>0</v>
      </c>
      <c r="V247" s="132">
        <f t="shared" si="447"/>
        <v>0</v>
      </c>
      <c r="W247" s="132">
        <f t="shared" si="447"/>
        <v>0</v>
      </c>
      <c r="X247" s="132">
        <f t="shared" si="448"/>
        <v>0</v>
      </c>
      <c r="Y247" s="104"/>
      <c r="AC247" s="521"/>
    </row>
    <row r="248" spans="1:197" ht="12.75" customHeight="1" outlineLevel="2" x14ac:dyDescent="0.2">
      <c r="A248" s="495">
        <v>7</v>
      </c>
      <c r="B248" s="127">
        <v>6</v>
      </c>
      <c r="C248" s="129"/>
      <c r="D248" s="129" t="s">
        <v>678</v>
      </c>
      <c r="E248" s="184" t="s">
        <v>679</v>
      </c>
      <c r="F248" s="130" t="s">
        <v>607</v>
      </c>
      <c r="G248" s="135" t="s">
        <v>103</v>
      </c>
      <c r="H248" s="136" t="s">
        <v>8</v>
      </c>
      <c r="I248" s="134" t="s">
        <v>68</v>
      </c>
      <c r="J248" s="134">
        <v>137</v>
      </c>
      <c r="K248" s="129"/>
      <c r="L248" s="129"/>
      <c r="M248" s="141"/>
      <c r="N248" s="302">
        <f t="shared" ref="N248" si="456">SUM(J248:M248)</f>
        <v>137</v>
      </c>
      <c r="O248" s="146">
        <v>4328</v>
      </c>
      <c r="P248" s="146">
        <v>4328</v>
      </c>
      <c r="Q248" s="622">
        <v>4328</v>
      </c>
      <c r="R248" s="146">
        <v>4202</v>
      </c>
      <c r="S248" s="132">
        <f t="shared" ref="S248" si="457">SUMPRODUCT(J248:M248,O248:R248)</f>
        <v>592936</v>
      </c>
      <c r="T248" s="132">
        <f t="shared" ref="T248" si="458">IF(O248&gt;prisgrense,J248*prisgrense,J248*O248)</f>
        <v>592936</v>
      </c>
      <c r="U248" s="132">
        <f t="shared" ref="U248" si="459">IF(P248&gt;prisgrense,K248*prisgrense,K248*P248)</f>
        <v>0</v>
      </c>
      <c r="V248" s="132">
        <f t="shared" ref="V248" si="460">IF(Q248&gt;prisgrense,L248*prisgrense,L248*Q248)</f>
        <v>0</v>
      </c>
      <c r="W248" s="132">
        <f t="shared" ref="W248" si="461">IF(R248&gt;prisgrense,M248*prisgrense,M248*R248)</f>
        <v>0</v>
      </c>
      <c r="X248" s="132">
        <f t="shared" ref="X248" si="462">SUM(T248:W248)</f>
        <v>592936</v>
      </c>
      <c r="Y248" s="139" t="s">
        <v>671</v>
      </c>
      <c r="AC248" s="521"/>
    </row>
    <row r="249" spans="1:197" s="152" customFormat="1" ht="12.75" customHeight="1" outlineLevel="2" x14ac:dyDescent="0.2">
      <c r="A249" s="495">
        <v>7</v>
      </c>
      <c r="B249" s="150">
        <v>7</v>
      </c>
      <c r="C249" s="129"/>
      <c r="D249" s="129" t="s">
        <v>960</v>
      </c>
      <c r="E249" s="184"/>
      <c r="F249" s="130" t="s">
        <v>109</v>
      </c>
      <c r="G249" s="143" t="s">
        <v>291</v>
      </c>
      <c r="H249" s="143" t="s">
        <v>8</v>
      </c>
      <c r="I249" s="129" t="s">
        <v>168</v>
      </c>
      <c r="J249" s="129">
        <v>19</v>
      </c>
      <c r="K249" s="129"/>
      <c r="L249" s="129"/>
      <c r="M249" s="141"/>
      <c r="N249" s="302">
        <f t="shared" ref="N249" si="463">SUM(J249:M249)</f>
        <v>19</v>
      </c>
      <c r="O249" s="584">
        <v>3030</v>
      </c>
      <c r="P249" s="584">
        <v>3030</v>
      </c>
      <c r="Q249" s="624">
        <v>3030</v>
      </c>
      <c r="R249" s="584">
        <v>2942</v>
      </c>
      <c r="S249" s="132">
        <f t="shared" ref="S249" si="464">SUMPRODUCT(J249:M249,O249:R249)</f>
        <v>57570</v>
      </c>
      <c r="T249" s="132">
        <f t="shared" ref="T249" si="465">IF(O249&gt;prisgrense,J249*prisgrense,J249*O249)</f>
        <v>57570</v>
      </c>
      <c r="U249" s="132">
        <f t="shared" ref="U249" si="466">IF(P249&gt;prisgrense,K249*prisgrense,K249*P249)</f>
        <v>0</v>
      </c>
      <c r="V249" s="132">
        <f t="shared" ref="V249" si="467">IF(Q249&gt;prisgrense,L249*prisgrense,L249*Q249)</f>
        <v>0</v>
      </c>
      <c r="W249" s="132">
        <f t="shared" ref="W249" si="468">IF(R249&gt;prisgrense,M249*prisgrense,M249*R249)</f>
        <v>0</v>
      </c>
      <c r="X249" s="132">
        <f t="shared" ref="X249" si="469">SUM(T249:W249)</f>
        <v>57570</v>
      </c>
      <c r="Y249" s="152" t="s">
        <v>959</v>
      </c>
      <c r="Z249" s="395"/>
      <c r="AC249" s="559"/>
    </row>
    <row r="250" spans="1:197" ht="12.75" customHeight="1" outlineLevel="2" x14ac:dyDescent="0.2">
      <c r="A250" s="495">
        <v>7</v>
      </c>
      <c r="B250" s="127">
        <v>8</v>
      </c>
      <c r="C250" s="129"/>
      <c r="D250" s="129" t="s">
        <v>252</v>
      </c>
      <c r="E250" s="184" t="s">
        <v>253</v>
      </c>
      <c r="F250" s="130" t="s">
        <v>607</v>
      </c>
      <c r="G250" s="135" t="s">
        <v>103</v>
      </c>
      <c r="H250" s="136" t="s">
        <v>8</v>
      </c>
      <c r="I250" s="134" t="s">
        <v>68</v>
      </c>
      <c r="J250" s="134"/>
      <c r="K250" s="129"/>
      <c r="L250" s="134"/>
      <c r="M250" s="177"/>
      <c r="N250" s="302">
        <f t="shared" si="343"/>
        <v>0</v>
      </c>
      <c r="O250" s="146">
        <v>4328</v>
      </c>
      <c r="P250" s="146">
        <v>4328</v>
      </c>
      <c r="Q250" s="622">
        <v>4328</v>
      </c>
      <c r="R250" s="146">
        <v>4202</v>
      </c>
      <c r="S250" s="132">
        <f t="shared" si="446"/>
        <v>0</v>
      </c>
      <c r="T250" s="132">
        <f t="shared" si="447"/>
        <v>0</v>
      </c>
      <c r="U250" s="132">
        <f t="shared" si="447"/>
        <v>0</v>
      </c>
      <c r="V250" s="132">
        <f t="shared" si="447"/>
        <v>0</v>
      </c>
      <c r="W250" s="132">
        <f t="shared" si="447"/>
        <v>0</v>
      </c>
      <c r="X250" s="132">
        <f t="shared" si="448"/>
        <v>0</v>
      </c>
      <c r="Y250" s="152" t="s">
        <v>1014</v>
      </c>
      <c r="Z250" s="600">
        <v>7</v>
      </c>
      <c r="AA250" s="139"/>
      <c r="AB250" s="139"/>
      <c r="AC250" s="521"/>
      <c r="AD250" s="139"/>
      <c r="AE250" s="139"/>
      <c r="AF250" s="139"/>
      <c r="AG250" s="139"/>
      <c r="AH250" s="139"/>
      <c r="AI250" s="139"/>
      <c r="AJ250" s="139"/>
      <c r="AK250" s="139"/>
      <c r="AL250" s="139"/>
      <c r="AM250" s="139"/>
      <c r="AN250" s="139"/>
      <c r="AO250" s="139"/>
      <c r="AP250" s="139"/>
      <c r="AQ250" s="139"/>
      <c r="AR250" s="139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39"/>
      <c r="BE250" s="139"/>
      <c r="BF250" s="139"/>
      <c r="BG250" s="139"/>
      <c r="BH250" s="139"/>
      <c r="BI250" s="139"/>
      <c r="BJ250" s="139"/>
      <c r="BK250" s="139"/>
      <c r="BL250" s="139"/>
      <c r="BM250" s="139"/>
      <c r="BN250" s="139"/>
      <c r="BO250" s="139"/>
      <c r="BP250" s="139"/>
      <c r="BQ250" s="139"/>
      <c r="BR250" s="139"/>
      <c r="BS250" s="139"/>
      <c r="BT250" s="139"/>
      <c r="BU250" s="139"/>
      <c r="BV250" s="139"/>
      <c r="BW250" s="139"/>
      <c r="BX250" s="139"/>
      <c r="BY250" s="139"/>
      <c r="BZ250" s="139"/>
      <c r="CA250" s="139"/>
      <c r="CB250" s="139"/>
      <c r="CC250" s="139"/>
      <c r="CD250" s="139"/>
      <c r="CE250" s="139"/>
      <c r="CF250" s="139"/>
      <c r="CG250" s="139"/>
      <c r="CH250" s="139"/>
      <c r="CI250" s="139"/>
      <c r="CJ250" s="139"/>
      <c r="CK250" s="139"/>
      <c r="CL250" s="139"/>
      <c r="CM250" s="139"/>
      <c r="CN250" s="139"/>
      <c r="CO250" s="139"/>
      <c r="CP250" s="139"/>
      <c r="CQ250" s="139"/>
      <c r="CR250" s="139"/>
      <c r="CS250" s="139"/>
      <c r="CT250" s="139"/>
      <c r="CU250" s="139"/>
      <c r="CV250" s="139"/>
      <c r="CW250" s="139"/>
      <c r="CX250" s="139"/>
      <c r="CY250" s="139"/>
      <c r="CZ250" s="139"/>
      <c r="DA250" s="139"/>
      <c r="DB250" s="139"/>
      <c r="DC250" s="139"/>
      <c r="DD250" s="139"/>
      <c r="DE250" s="139"/>
      <c r="DF250" s="139"/>
      <c r="DG250" s="139"/>
      <c r="DH250" s="139"/>
      <c r="DI250" s="139"/>
      <c r="DJ250" s="139"/>
      <c r="DK250" s="139"/>
      <c r="DL250" s="139"/>
      <c r="DM250" s="139"/>
      <c r="DN250" s="139"/>
      <c r="DO250" s="139"/>
      <c r="DP250" s="139"/>
      <c r="DQ250" s="139"/>
      <c r="DR250" s="139"/>
      <c r="DS250" s="139"/>
      <c r="DT250" s="139"/>
      <c r="DU250" s="139"/>
      <c r="DV250" s="139"/>
      <c r="DW250" s="139"/>
      <c r="DX250" s="139"/>
      <c r="DY250" s="139"/>
      <c r="DZ250" s="139"/>
      <c r="EA250" s="139"/>
      <c r="EB250" s="139"/>
      <c r="EC250" s="139"/>
      <c r="ED250" s="139"/>
      <c r="EE250" s="139"/>
      <c r="EF250" s="139"/>
      <c r="EG250" s="139"/>
      <c r="EH250" s="139"/>
      <c r="EI250" s="139"/>
      <c r="EJ250" s="139"/>
      <c r="EK250" s="139"/>
      <c r="EL250" s="139"/>
      <c r="EM250" s="139"/>
      <c r="EN250" s="139"/>
      <c r="EO250" s="139"/>
      <c r="EP250" s="139"/>
      <c r="EQ250" s="139"/>
      <c r="ER250" s="139"/>
      <c r="ES250" s="139"/>
      <c r="ET250" s="139"/>
      <c r="EU250" s="139"/>
      <c r="EV250" s="139"/>
      <c r="EW250" s="139"/>
      <c r="EX250" s="139"/>
      <c r="EY250" s="139"/>
      <c r="EZ250" s="139"/>
      <c r="FA250" s="139"/>
      <c r="FB250" s="139"/>
      <c r="FC250" s="139"/>
      <c r="FD250" s="139"/>
      <c r="FE250" s="139"/>
      <c r="FF250" s="139"/>
      <c r="FG250" s="139"/>
      <c r="FH250" s="139"/>
      <c r="FI250" s="139"/>
      <c r="FJ250" s="139"/>
      <c r="FK250" s="139"/>
      <c r="FL250" s="139"/>
      <c r="FM250" s="139"/>
      <c r="FN250" s="139"/>
      <c r="FO250" s="139"/>
      <c r="FP250" s="139"/>
      <c r="FQ250" s="139"/>
      <c r="FR250" s="139"/>
      <c r="FS250" s="139"/>
      <c r="FT250" s="139"/>
      <c r="FU250" s="139"/>
      <c r="FV250" s="139"/>
      <c r="FW250" s="139"/>
      <c r="FX250" s="139"/>
      <c r="FY250" s="139"/>
      <c r="FZ250" s="139"/>
      <c r="GA250" s="139"/>
      <c r="GB250" s="139"/>
      <c r="GC250" s="139"/>
      <c r="GD250" s="139"/>
      <c r="GE250" s="139"/>
      <c r="GF250" s="139"/>
      <c r="GG250" s="139"/>
      <c r="GH250" s="139"/>
      <c r="GI250" s="139"/>
      <c r="GJ250" s="139"/>
      <c r="GK250" s="139"/>
      <c r="GL250" s="139"/>
      <c r="GM250" s="139"/>
      <c r="GN250" s="139"/>
      <c r="GO250" s="139"/>
    </row>
    <row r="251" spans="1:197" s="152" customFormat="1" ht="12.75" customHeight="1" outlineLevel="2" x14ac:dyDescent="0.2">
      <c r="A251" s="495">
        <v>7</v>
      </c>
      <c r="B251" s="150">
        <v>8</v>
      </c>
      <c r="C251" s="129"/>
      <c r="D251" s="129" t="s">
        <v>1016</v>
      </c>
      <c r="E251" s="184"/>
      <c r="F251" s="130" t="s">
        <v>607</v>
      </c>
      <c r="G251" s="137"/>
      <c r="H251" s="135" t="s">
        <v>8</v>
      </c>
      <c r="I251" s="129" t="s">
        <v>68</v>
      </c>
      <c r="J251" s="129">
        <v>2</v>
      </c>
      <c r="K251" s="129"/>
      <c r="L251" s="129"/>
      <c r="M251" s="141"/>
      <c r="N251" s="302">
        <f t="shared" ref="N251" si="470">SUM(J251:M251)</f>
        <v>2</v>
      </c>
      <c r="O251" s="146">
        <v>4328</v>
      </c>
      <c r="P251" s="146">
        <v>4328</v>
      </c>
      <c r="Q251" s="622">
        <v>4328</v>
      </c>
      <c r="R251" s="146">
        <v>4202</v>
      </c>
      <c r="S251" s="132">
        <f t="shared" ref="S251" si="471">SUMPRODUCT(J251:M251,O251:R251)</f>
        <v>8656</v>
      </c>
      <c r="T251" s="132">
        <f t="shared" ref="T251" si="472">IF(O251&gt;prisgrense,J251*prisgrense,J251*O251)</f>
        <v>8656</v>
      </c>
      <c r="U251" s="132">
        <f t="shared" ref="U251" si="473">IF(P251&gt;prisgrense,K251*prisgrense,K251*P251)</f>
        <v>0</v>
      </c>
      <c r="V251" s="132">
        <f t="shared" ref="V251" si="474">IF(Q251&gt;prisgrense,L251*prisgrense,L251*Q251)</f>
        <v>0</v>
      </c>
      <c r="W251" s="132">
        <f t="shared" ref="W251" si="475">IF(R251&gt;prisgrense,M251*prisgrense,M251*R251)</f>
        <v>0</v>
      </c>
      <c r="X251" s="132">
        <f t="shared" ref="X251" si="476">SUM(T251:W251)</f>
        <v>8656</v>
      </c>
      <c r="Y251" s="152" t="s">
        <v>1015</v>
      </c>
      <c r="Z251" s="601"/>
      <c r="AA251" s="157"/>
      <c r="AB251" s="157"/>
      <c r="AC251" s="559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57"/>
      <c r="BA251" s="157"/>
      <c r="BB251" s="157"/>
      <c r="BC251" s="157"/>
      <c r="BD251" s="157"/>
      <c r="BE251" s="157"/>
      <c r="BF251" s="157"/>
      <c r="BG251" s="157"/>
      <c r="BH251" s="157"/>
      <c r="BI251" s="157"/>
      <c r="BJ251" s="157"/>
      <c r="BK251" s="157"/>
      <c r="BL251" s="157"/>
      <c r="BM251" s="157"/>
      <c r="BN251" s="157"/>
      <c r="BO251" s="157"/>
      <c r="BP251" s="157"/>
      <c r="BQ251" s="157"/>
      <c r="BR251" s="157"/>
      <c r="BS251" s="157"/>
      <c r="BT251" s="157"/>
      <c r="BU251" s="157"/>
      <c r="BV251" s="157"/>
      <c r="BW251" s="157"/>
      <c r="BX251" s="157"/>
      <c r="BY251" s="157"/>
      <c r="BZ251" s="157"/>
      <c r="CA251" s="157"/>
      <c r="CB251" s="157"/>
      <c r="CC251" s="157"/>
      <c r="CD251" s="157"/>
      <c r="CE251" s="157"/>
      <c r="CF251" s="157"/>
      <c r="CG251" s="157"/>
      <c r="CH251" s="157"/>
      <c r="CI251" s="157"/>
      <c r="CJ251" s="157"/>
      <c r="CK251" s="157"/>
      <c r="CL251" s="157"/>
      <c r="CM251" s="157"/>
      <c r="CN251" s="157"/>
      <c r="CO251" s="157"/>
      <c r="CP251" s="157"/>
      <c r="CQ251" s="157"/>
      <c r="CR251" s="157"/>
      <c r="CS251" s="157"/>
      <c r="CT251" s="157"/>
      <c r="CU251" s="157"/>
      <c r="CV251" s="157"/>
      <c r="CW251" s="157"/>
      <c r="CX251" s="157"/>
      <c r="CY251" s="157"/>
      <c r="CZ251" s="157"/>
      <c r="DA251" s="157"/>
      <c r="DB251" s="157"/>
      <c r="DC251" s="157"/>
      <c r="DD251" s="157"/>
      <c r="DE251" s="157"/>
      <c r="DF251" s="157"/>
      <c r="DG251" s="157"/>
      <c r="DH251" s="157"/>
      <c r="DI251" s="157"/>
      <c r="DJ251" s="157"/>
      <c r="DK251" s="157"/>
      <c r="DL251" s="157"/>
      <c r="DM251" s="157"/>
      <c r="DN251" s="157"/>
      <c r="DO251" s="157"/>
      <c r="DP251" s="157"/>
      <c r="DQ251" s="157"/>
      <c r="DR251" s="157"/>
      <c r="DS251" s="157"/>
      <c r="DT251" s="157"/>
      <c r="DU251" s="157"/>
      <c r="DV251" s="157"/>
      <c r="DW251" s="157"/>
      <c r="DX251" s="157"/>
      <c r="DY251" s="157"/>
      <c r="DZ251" s="157"/>
      <c r="EA251" s="157"/>
      <c r="EB251" s="157"/>
      <c r="EC251" s="157"/>
      <c r="ED251" s="157"/>
      <c r="EE251" s="157"/>
      <c r="EF251" s="157"/>
      <c r="EG251" s="157"/>
      <c r="EH251" s="157"/>
      <c r="EI251" s="157"/>
      <c r="EJ251" s="157"/>
      <c r="EK251" s="157"/>
      <c r="EL251" s="157"/>
      <c r="EM251" s="157"/>
      <c r="EN251" s="157"/>
      <c r="EO251" s="157"/>
      <c r="EP251" s="157"/>
      <c r="EQ251" s="157"/>
      <c r="ER251" s="157"/>
      <c r="ES251" s="157"/>
      <c r="ET251" s="157"/>
      <c r="EU251" s="157"/>
      <c r="EV251" s="157"/>
      <c r="EW251" s="157"/>
      <c r="EX251" s="157"/>
      <c r="EY251" s="157"/>
      <c r="EZ251" s="157"/>
      <c r="FA251" s="157"/>
      <c r="FB251" s="157"/>
      <c r="FC251" s="157"/>
      <c r="FD251" s="157"/>
      <c r="FE251" s="157"/>
      <c r="FF251" s="157"/>
      <c r="FG251" s="157"/>
      <c r="FH251" s="157"/>
      <c r="FI251" s="157"/>
      <c r="FJ251" s="157"/>
      <c r="FK251" s="157"/>
      <c r="FL251" s="157"/>
      <c r="FM251" s="157"/>
      <c r="FN251" s="157"/>
      <c r="FO251" s="157"/>
      <c r="FP251" s="157"/>
      <c r="FQ251" s="157"/>
      <c r="FR251" s="157"/>
      <c r="FS251" s="157"/>
      <c r="FT251" s="157"/>
      <c r="FU251" s="157"/>
      <c r="FV251" s="157"/>
      <c r="FW251" s="157"/>
      <c r="FX251" s="157"/>
      <c r="FY251" s="157"/>
      <c r="FZ251" s="157"/>
      <c r="GA251" s="157"/>
      <c r="GB251" s="157"/>
      <c r="GC251" s="157"/>
      <c r="GD251" s="157"/>
      <c r="GE251" s="157"/>
      <c r="GF251" s="157"/>
      <c r="GG251" s="157"/>
      <c r="GH251" s="157"/>
      <c r="GI251" s="157"/>
      <c r="GJ251" s="157"/>
      <c r="GK251" s="157"/>
      <c r="GL251" s="157"/>
      <c r="GM251" s="157"/>
      <c r="GN251" s="157"/>
      <c r="GO251" s="157"/>
    </row>
    <row r="252" spans="1:197" s="152" customFormat="1" ht="12.75" customHeight="1" outlineLevel="2" x14ac:dyDescent="0.2">
      <c r="A252" s="495">
        <v>7</v>
      </c>
      <c r="B252" s="150">
        <v>9</v>
      </c>
      <c r="C252" s="129"/>
      <c r="D252" s="129" t="s">
        <v>933</v>
      </c>
      <c r="E252" s="184"/>
      <c r="F252" s="135" t="s">
        <v>607</v>
      </c>
      <c r="G252" s="137" t="s">
        <v>83</v>
      </c>
      <c r="H252" s="135" t="s">
        <v>8</v>
      </c>
      <c r="I252" s="129" t="s">
        <v>168</v>
      </c>
      <c r="J252" s="129">
        <v>112</v>
      </c>
      <c r="K252" s="129"/>
      <c r="L252" s="129"/>
      <c r="M252" s="141"/>
      <c r="N252" s="302">
        <f t="shared" ref="N252" si="477">SUM(J252:M252)</f>
        <v>112</v>
      </c>
      <c r="O252" s="146">
        <v>4544</v>
      </c>
      <c r="P252" s="146">
        <v>4544</v>
      </c>
      <c r="Q252" s="622">
        <v>4544</v>
      </c>
      <c r="R252" s="146">
        <v>4412</v>
      </c>
      <c r="S252" s="132">
        <f t="shared" ref="S252" si="478">SUMPRODUCT(J252:M252,O252:R252)</f>
        <v>508928</v>
      </c>
      <c r="T252" s="132">
        <f t="shared" ref="T252" si="479">IF(O252&gt;prisgrense,J252*prisgrense,J252*O252)</f>
        <v>508928</v>
      </c>
      <c r="U252" s="132">
        <f t="shared" ref="U252" si="480">IF(P252&gt;prisgrense,K252*prisgrense,K252*P252)</f>
        <v>0</v>
      </c>
      <c r="V252" s="132">
        <f t="shared" ref="V252" si="481">IF(Q252&gt;prisgrense,L252*prisgrense,L252*Q252)</f>
        <v>0</v>
      </c>
      <c r="W252" s="132">
        <f t="shared" ref="W252" si="482">IF(R252&gt;prisgrense,M252*prisgrense,M252*R252)</f>
        <v>0</v>
      </c>
      <c r="X252" s="132">
        <f t="shared" ref="X252" si="483">SUM(T252:W252)</f>
        <v>508928</v>
      </c>
      <c r="Y252" s="152" t="s">
        <v>929</v>
      </c>
      <c r="Z252" s="395"/>
      <c r="AC252" s="559"/>
    </row>
    <row r="253" spans="1:197" s="152" customFormat="1" ht="12.75" customHeight="1" outlineLevel="2" x14ac:dyDescent="0.2">
      <c r="A253" s="495">
        <v>7</v>
      </c>
      <c r="B253" s="150">
        <v>10</v>
      </c>
      <c r="C253" s="575" t="s">
        <v>871</v>
      </c>
      <c r="D253" s="575" t="s">
        <v>895</v>
      </c>
      <c r="E253" s="184"/>
      <c r="F253" s="135" t="s">
        <v>109</v>
      </c>
      <c r="G253" s="143" t="s">
        <v>291</v>
      </c>
      <c r="H253" s="135" t="s">
        <v>8</v>
      </c>
      <c r="I253" s="129" t="s">
        <v>168</v>
      </c>
      <c r="J253" s="129">
        <v>37</v>
      </c>
      <c r="K253" s="129"/>
      <c r="L253" s="129"/>
      <c r="M253" s="141"/>
      <c r="N253" s="302">
        <f t="shared" ref="N253" si="484">SUM(J253:M253)</f>
        <v>37</v>
      </c>
      <c r="O253" s="146">
        <v>3462</v>
      </c>
      <c r="P253" s="146">
        <v>3462</v>
      </c>
      <c r="Q253" s="622">
        <v>3462</v>
      </c>
      <c r="R253" s="146">
        <v>3361</v>
      </c>
      <c r="S253" s="132">
        <f t="shared" ref="S253" si="485">SUMPRODUCT(J253:M253,O253:R253)</f>
        <v>128094</v>
      </c>
      <c r="T253" s="132">
        <f t="shared" ref="T253" si="486">IF(O253&gt;prisgrense,J253*prisgrense,J253*O253)</f>
        <v>128094</v>
      </c>
      <c r="U253" s="132">
        <f t="shared" ref="U253" si="487">IF(P253&gt;prisgrense,K253*prisgrense,K253*P253)</f>
        <v>0</v>
      </c>
      <c r="V253" s="132">
        <f t="shared" ref="V253" si="488">IF(Q253&gt;prisgrense,L253*prisgrense,L253*Q253)</f>
        <v>0</v>
      </c>
      <c r="W253" s="132">
        <f t="shared" ref="W253" si="489">IF(R253&gt;prisgrense,M253*prisgrense,M253*R253)</f>
        <v>0</v>
      </c>
      <c r="X253" s="132">
        <f t="shared" ref="X253" si="490">SUM(T253:W253)</f>
        <v>128094</v>
      </c>
      <c r="Y253" s="152" t="s">
        <v>869</v>
      </c>
      <c r="Z253" s="395"/>
      <c r="AC253" s="559"/>
    </row>
    <row r="254" spans="1:197" s="152" customFormat="1" ht="12.75" customHeight="1" outlineLevel="2" x14ac:dyDescent="0.2">
      <c r="A254" s="495">
        <v>7</v>
      </c>
      <c r="B254" s="150">
        <v>12</v>
      </c>
      <c r="C254" s="575" t="s">
        <v>871</v>
      </c>
      <c r="D254" s="575" t="s">
        <v>894</v>
      </c>
      <c r="E254" s="245" t="s">
        <v>893</v>
      </c>
      <c r="F254" s="135" t="s">
        <v>109</v>
      </c>
      <c r="G254" s="135" t="s">
        <v>291</v>
      </c>
      <c r="H254" s="135" t="s">
        <v>8</v>
      </c>
      <c r="I254" s="129" t="s">
        <v>168</v>
      </c>
      <c r="J254" s="129">
        <v>18</v>
      </c>
      <c r="K254" s="129"/>
      <c r="L254" s="129"/>
      <c r="M254" s="141"/>
      <c r="N254" s="302">
        <f t="shared" ref="N254:N255" si="491">SUM(J254:M254)</f>
        <v>18</v>
      </c>
      <c r="O254" s="146">
        <v>3572</v>
      </c>
      <c r="P254" s="146">
        <v>3572</v>
      </c>
      <c r="Q254" s="146">
        <v>3572</v>
      </c>
      <c r="R254" s="146">
        <v>3572</v>
      </c>
      <c r="S254" s="132">
        <f t="shared" ref="S254" si="492">SUMPRODUCT(J254:M254,O254:R254)</f>
        <v>64296</v>
      </c>
      <c r="T254" s="132">
        <f t="shared" ref="T254" si="493">IF(O254&gt;prisgrense,J254*prisgrense,J254*O254)</f>
        <v>64296</v>
      </c>
      <c r="U254" s="132">
        <f t="shared" ref="U254" si="494">IF(P254&gt;prisgrense,K254*prisgrense,K254*P254)</f>
        <v>0</v>
      </c>
      <c r="V254" s="132">
        <f t="shared" ref="V254" si="495">IF(Q254&gt;prisgrense,L254*prisgrense,L254*Q254)</f>
        <v>0</v>
      </c>
      <c r="W254" s="132">
        <f t="shared" ref="W254" si="496">IF(R254&gt;prisgrense,M254*prisgrense,M254*R254)</f>
        <v>0</v>
      </c>
      <c r="X254" s="132">
        <f t="shared" ref="X254" si="497">SUM(T254:W254)</f>
        <v>64296</v>
      </c>
      <c r="Y254" s="152" t="s">
        <v>1017</v>
      </c>
      <c r="Z254" s="395">
        <v>7</v>
      </c>
      <c r="AC254" s="559"/>
    </row>
    <row r="255" spans="1:197" s="152" customFormat="1" ht="12.75" customHeight="1" outlineLevel="2" x14ac:dyDescent="0.2">
      <c r="A255" s="495">
        <v>7</v>
      </c>
      <c r="B255" s="150">
        <v>12</v>
      </c>
      <c r="C255" s="575" t="s">
        <v>1019</v>
      </c>
      <c r="D255" s="575" t="s">
        <v>1020</v>
      </c>
      <c r="E255" s="245"/>
      <c r="F255" s="135" t="s">
        <v>109</v>
      </c>
      <c r="G255" s="135"/>
      <c r="H255" s="135" t="s">
        <v>8</v>
      </c>
      <c r="I255" s="129" t="s">
        <v>168</v>
      </c>
      <c r="J255" s="129">
        <v>2</v>
      </c>
      <c r="K255" s="129"/>
      <c r="L255" s="129"/>
      <c r="M255" s="141"/>
      <c r="N255" s="302">
        <f t="shared" si="491"/>
        <v>2</v>
      </c>
      <c r="O255" s="146">
        <v>3679</v>
      </c>
      <c r="P255" s="146">
        <v>3679</v>
      </c>
      <c r="Q255" s="622">
        <v>3679</v>
      </c>
      <c r="R255" s="146">
        <v>3572</v>
      </c>
      <c r="S255" s="132">
        <f t="shared" ref="S255" si="498">SUMPRODUCT(J255:M255,O255:R255)</f>
        <v>7358</v>
      </c>
      <c r="T255" s="132">
        <f t="shared" ref="T255" si="499">IF(O255&gt;prisgrense,J255*prisgrense,J255*O255)</f>
        <v>7358</v>
      </c>
      <c r="U255" s="132">
        <f t="shared" ref="U255" si="500">IF(P255&gt;prisgrense,K255*prisgrense,K255*P255)</f>
        <v>0</v>
      </c>
      <c r="V255" s="132">
        <f t="shared" ref="V255" si="501">IF(Q255&gt;prisgrense,L255*prisgrense,L255*Q255)</f>
        <v>0</v>
      </c>
      <c r="W255" s="132">
        <f t="shared" ref="W255" si="502">IF(R255&gt;prisgrense,M255*prisgrense,M255*R255)</f>
        <v>0</v>
      </c>
      <c r="X255" s="132">
        <f t="shared" ref="X255" si="503">SUM(T255:W255)</f>
        <v>7358</v>
      </c>
      <c r="Y255" s="152" t="s">
        <v>1018</v>
      </c>
      <c r="Z255" s="395"/>
      <c r="AC255" s="559"/>
    </row>
    <row r="256" spans="1:197" s="152" customFormat="1" ht="12.75" customHeight="1" outlineLevel="2" x14ac:dyDescent="0.2">
      <c r="A256" s="495">
        <v>7</v>
      </c>
      <c r="B256" s="150">
        <v>13</v>
      </c>
      <c r="C256" s="129"/>
      <c r="D256" s="129" t="s">
        <v>924</v>
      </c>
      <c r="E256" s="184"/>
      <c r="F256" s="130" t="s">
        <v>151</v>
      </c>
      <c r="G256" s="143" t="s">
        <v>83</v>
      </c>
      <c r="H256" s="143" t="s">
        <v>8</v>
      </c>
      <c r="I256" s="129" t="s">
        <v>168</v>
      </c>
      <c r="J256" s="129">
        <v>67</v>
      </c>
      <c r="K256" s="129"/>
      <c r="L256" s="129"/>
      <c r="M256" s="141"/>
      <c r="N256" s="302">
        <f t="shared" ref="N256" si="504">SUM(J256:M256)</f>
        <v>67</v>
      </c>
      <c r="O256" s="146">
        <v>4328</v>
      </c>
      <c r="P256" s="146">
        <v>4328</v>
      </c>
      <c r="Q256" s="622">
        <v>4328</v>
      </c>
      <c r="R256" s="146">
        <v>4202</v>
      </c>
      <c r="S256" s="132">
        <f t="shared" ref="S256" si="505">SUMPRODUCT(J256:M256,O256:R256)</f>
        <v>289976</v>
      </c>
      <c r="T256" s="132">
        <f t="shared" ref="T256" si="506">IF(O256&gt;prisgrense,J256*prisgrense,J256*O256)</f>
        <v>289976</v>
      </c>
      <c r="U256" s="132">
        <f t="shared" ref="U256" si="507">IF(P256&gt;prisgrense,K256*prisgrense,K256*P256)</f>
        <v>0</v>
      </c>
      <c r="V256" s="132">
        <f t="shared" ref="V256" si="508">IF(Q256&gt;prisgrense,L256*prisgrense,L256*Q256)</f>
        <v>0</v>
      </c>
      <c r="W256" s="132">
        <f t="shared" ref="W256" si="509">IF(R256&gt;prisgrense,M256*prisgrense,M256*R256)</f>
        <v>0</v>
      </c>
      <c r="X256" s="132">
        <f t="shared" ref="X256" si="510">SUM(T256:W256)</f>
        <v>289976</v>
      </c>
      <c r="Y256" s="152" t="s">
        <v>920</v>
      </c>
      <c r="Z256" s="395"/>
      <c r="AC256" s="559"/>
    </row>
    <row r="257" spans="1:197 16384:16384" s="152" customFormat="1" ht="12.75" customHeight="1" outlineLevel="2" x14ac:dyDescent="0.2">
      <c r="A257" s="495">
        <v>7</v>
      </c>
      <c r="B257" s="150">
        <v>14</v>
      </c>
      <c r="C257" s="129" t="s">
        <v>147</v>
      </c>
      <c r="D257" s="129" t="s">
        <v>281</v>
      </c>
      <c r="E257" s="184" t="s">
        <v>282</v>
      </c>
      <c r="F257" s="130" t="s">
        <v>106</v>
      </c>
      <c r="G257" s="143" t="s">
        <v>107</v>
      </c>
      <c r="H257" s="143" t="s">
        <v>8</v>
      </c>
      <c r="I257" s="129" t="s">
        <v>68</v>
      </c>
      <c r="J257" s="129"/>
      <c r="K257" s="129"/>
      <c r="L257" s="129"/>
      <c r="M257" s="141"/>
      <c r="N257" s="302">
        <f t="shared" si="343"/>
        <v>0</v>
      </c>
      <c r="O257" s="144">
        <v>4728</v>
      </c>
      <c r="P257" s="144">
        <v>4728</v>
      </c>
      <c r="Q257" s="144">
        <v>4728</v>
      </c>
      <c r="R257" s="144">
        <v>4728</v>
      </c>
      <c r="S257" s="132">
        <f t="shared" si="446"/>
        <v>0</v>
      </c>
      <c r="T257" s="132">
        <f t="shared" si="447"/>
        <v>0</v>
      </c>
      <c r="U257" s="132">
        <f t="shared" si="447"/>
        <v>0</v>
      </c>
      <c r="V257" s="132">
        <f t="shared" si="447"/>
        <v>0</v>
      </c>
      <c r="W257" s="132">
        <f t="shared" si="447"/>
        <v>0</v>
      </c>
      <c r="X257" s="132">
        <f t="shared" si="448"/>
        <v>0</v>
      </c>
      <c r="Y257" s="152" t="s">
        <v>1022</v>
      </c>
      <c r="Z257" s="395">
        <v>7</v>
      </c>
      <c r="AC257" s="559"/>
    </row>
    <row r="258" spans="1:197 16384:16384" s="152" customFormat="1" ht="12.75" customHeight="1" outlineLevel="2" x14ac:dyDescent="0.2">
      <c r="A258" s="495">
        <v>7</v>
      </c>
      <c r="B258" s="150">
        <v>14</v>
      </c>
      <c r="C258" s="129" t="s">
        <v>1023</v>
      </c>
      <c r="D258" s="129" t="s">
        <v>1024</v>
      </c>
      <c r="E258" s="184"/>
      <c r="F258" s="130" t="s">
        <v>106</v>
      </c>
      <c r="G258" s="143"/>
      <c r="H258" s="143" t="s">
        <v>8</v>
      </c>
      <c r="I258" s="129" t="s">
        <v>68</v>
      </c>
      <c r="J258" s="129"/>
      <c r="K258" s="129"/>
      <c r="L258" s="129"/>
      <c r="M258" s="141"/>
      <c r="N258" s="302">
        <f t="shared" si="343"/>
        <v>0</v>
      </c>
      <c r="O258" s="144">
        <v>4728</v>
      </c>
      <c r="P258" s="144">
        <v>4728</v>
      </c>
      <c r="Q258" s="618">
        <v>4728</v>
      </c>
      <c r="R258" s="144">
        <v>4728</v>
      </c>
      <c r="S258" s="132">
        <f t="shared" ref="S258" si="511">SUMPRODUCT(J258:M258,O258:R258)</f>
        <v>0</v>
      </c>
      <c r="T258" s="132">
        <f t="shared" ref="T258" si="512">IF(O258&gt;prisgrense,J258*prisgrense,J258*O258)</f>
        <v>0</v>
      </c>
      <c r="U258" s="132">
        <f t="shared" ref="U258" si="513">IF(P258&gt;prisgrense,K258*prisgrense,K258*P258)</f>
        <v>0</v>
      </c>
      <c r="V258" s="132">
        <f t="shared" ref="V258" si="514">IF(Q258&gt;prisgrense,L258*prisgrense,L258*Q258)</f>
        <v>0</v>
      </c>
      <c r="W258" s="132">
        <f t="shared" ref="W258" si="515">IF(R258&gt;prisgrense,M258*prisgrense,M258*R258)</f>
        <v>0</v>
      </c>
      <c r="X258" s="132">
        <f t="shared" ref="X258" si="516">SUM(T258:W258)</f>
        <v>0</v>
      </c>
      <c r="Y258" s="152" t="s">
        <v>1021</v>
      </c>
      <c r="Z258" s="395"/>
      <c r="AC258" s="559"/>
    </row>
    <row r="259" spans="1:197 16384:16384" s="152" customFormat="1" ht="12.75" customHeight="1" outlineLevel="2" x14ac:dyDescent="0.2">
      <c r="A259" s="495">
        <v>7</v>
      </c>
      <c r="B259" s="150">
        <v>15</v>
      </c>
      <c r="C259" s="129" t="s">
        <v>144</v>
      </c>
      <c r="D259" s="129" t="s">
        <v>582</v>
      </c>
      <c r="E259" s="184" t="s">
        <v>583</v>
      </c>
      <c r="F259" s="130" t="s">
        <v>106</v>
      </c>
      <c r="G259" s="143" t="s">
        <v>107</v>
      </c>
      <c r="H259" s="143" t="s">
        <v>8</v>
      </c>
      <c r="I259" s="129" t="s">
        <v>128</v>
      </c>
      <c r="J259" s="129"/>
      <c r="K259" s="129"/>
      <c r="L259" s="129"/>
      <c r="M259" s="141"/>
      <c r="N259" s="302">
        <f t="shared" ref="N259" si="517">SUM(J259:M259)</f>
        <v>0</v>
      </c>
      <c r="O259" s="144">
        <v>3895</v>
      </c>
      <c r="P259" s="144">
        <v>3895</v>
      </c>
      <c r="Q259" s="618">
        <v>3895</v>
      </c>
      <c r="R259" s="144">
        <v>3782</v>
      </c>
      <c r="S259" s="132">
        <f t="shared" ref="S259" si="518">SUMPRODUCT(J259:M259,O259:R259)</f>
        <v>0</v>
      </c>
      <c r="T259" s="132">
        <f t="shared" ref="T259" si="519">IF(O259&gt;prisgrense,J259*prisgrense,J259*O259)</f>
        <v>0</v>
      </c>
      <c r="U259" s="132">
        <f t="shared" ref="U259" si="520">IF(P259&gt;prisgrense,K259*prisgrense,K259*P259)</f>
        <v>0</v>
      </c>
      <c r="V259" s="132">
        <f t="shared" ref="V259" si="521">IF(Q259&gt;prisgrense,L259*prisgrense,L259*Q259)</f>
        <v>0</v>
      </c>
      <c r="W259" s="132">
        <f t="shared" ref="W259" si="522">IF(R259&gt;prisgrense,M259*prisgrense,M259*R259)</f>
        <v>0</v>
      </c>
      <c r="X259" s="132">
        <f t="shared" ref="X259" si="523">SUM(T259:W259)</f>
        <v>0</v>
      </c>
      <c r="Y259" s="152" t="s">
        <v>532</v>
      </c>
      <c r="Z259" s="395"/>
      <c r="AC259" s="559"/>
    </row>
    <row r="260" spans="1:197 16384:16384" s="152" customFormat="1" ht="12.75" customHeight="1" outlineLevel="2" x14ac:dyDescent="0.2">
      <c r="A260" s="495">
        <v>7</v>
      </c>
      <c r="B260" s="150">
        <v>16</v>
      </c>
      <c r="C260" s="129" t="s">
        <v>144</v>
      </c>
      <c r="D260" s="129" t="s">
        <v>395</v>
      </c>
      <c r="E260" s="184" t="s">
        <v>396</v>
      </c>
      <c r="F260" s="130" t="s">
        <v>106</v>
      </c>
      <c r="G260" s="143" t="s">
        <v>107</v>
      </c>
      <c r="H260" s="143" t="s">
        <v>8</v>
      </c>
      <c r="I260" s="129" t="s">
        <v>168</v>
      </c>
      <c r="J260" s="129">
        <v>2</v>
      </c>
      <c r="K260" s="129"/>
      <c r="L260" s="129"/>
      <c r="M260" s="141"/>
      <c r="N260" s="302">
        <f t="shared" si="343"/>
        <v>2</v>
      </c>
      <c r="O260" s="144">
        <v>4112</v>
      </c>
      <c r="P260" s="144">
        <v>4112</v>
      </c>
      <c r="Q260" s="618">
        <v>4112</v>
      </c>
      <c r="R260" s="144">
        <v>3992</v>
      </c>
      <c r="S260" s="132">
        <f t="shared" si="446"/>
        <v>8224</v>
      </c>
      <c r="T260" s="132">
        <f t="shared" si="447"/>
        <v>8224</v>
      </c>
      <c r="U260" s="132">
        <f t="shared" si="447"/>
        <v>0</v>
      </c>
      <c r="V260" s="132">
        <f t="shared" si="447"/>
        <v>0</v>
      </c>
      <c r="W260" s="132">
        <f t="shared" si="447"/>
        <v>0</v>
      </c>
      <c r="X260" s="132">
        <f t="shared" si="448"/>
        <v>8224</v>
      </c>
      <c r="Z260" s="395"/>
      <c r="AC260" s="559"/>
    </row>
    <row r="261" spans="1:197 16384:16384" ht="12.75" customHeight="1" outlineLevel="2" x14ac:dyDescent="0.2">
      <c r="A261" s="495">
        <v>7</v>
      </c>
      <c r="B261" s="127">
        <v>16</v>
      </c>
      <c r="C261" s="129" t="s">
        <v>397</v>
      </c>
      <c r="D261" s="129" t="s">
        <v>398</v>
      </c>
      <c r="E261" s="184" t="s">
        <v>399</v>
      </c>
      <c r="F261" s="130" t="s">
        <v>106</v>
      </c>
      <c r="G261" s="143" t="s">
        <v>107</v>
      </c>
      <c r="H261" s="133" t="s">
        <v>8</v>
      </c>
      <c r="I261" s="134" t="s">
        <v>168</v>
      </c>
      <c r="J261" s="134">
        <v>2</v>
      </c>
      <c r="K261" s="134"/>
      <c r="L261" s="134"/>
      <c r="M261" s="177"/>
      <c r="N261" s="302">
        <f t="shared" si="343"/>
        <v>2</v>
      </c>
      <c r="O261" s="144">
        <v>4112</v>
      </c>
      <c r="P261" s="144">
        <v>4112</v>
      </c>
      <c r="Q261" s="618">
        <v>4112</v>
      </c>
      <c r="R261" s="144">
        <v>3992</v>
      </c>
      <c r="S261" s="132">
        <f t="shared" si="446"/>
        <v>8224</v>
      </c>
      <c r="T261" s="132">
        <f t="shared" si="447"/>
        <v>8224</v>
      </c>
      <c r="U261" s="132">
        <f t="shared" si="447"/>
        <v>0</v>
      </c>
      <c r="V261" s="132">
        <f t="shared" si="447"/>
        <v>0</v>
      </c>
      <c r="W261" s="132">
        <f t="shared" si="447"/>
        <v>0</v>
      </c>
      <c r="X261" s="132">
        <f t="shared" si="448"/>
        <v>8224</v>
      </c>
      <c r="Y261" s="104"/>
      <c r="AC261" s="521"/>
    </row>
    <row r="262" spans="1:197 16384:16384" ht="12.75" customHeight="1" outlineLevel="2" x14ac:dyDescent="0.2">
      <c r="A262" s="495">
        <v>7</v>
      </c>
      <c r="B262" s="127">
        <v>18</v>
      </c>
      <c r="C262" s="129" t="s">
        <v>302</v>
      </c>
      <c r="D262" s="128" t="s">
        <v>307</v>
      </c>
      <c r="E262" s="357" t="s">
        <v>308</v>
      </c>
      <c r="F262" s="130" t="s">
        <v>106</v>
      </c>
      <c r="G262" s="143" t="s">
        <v>107</v>
      </c>
      <c r="H262" s="133" t="s">
        <v>8</v>
      </c>
      <c r="I262" s="134" t="s">
        <v>68</v>
      </c>
      <c r="J262" s="134"/>
      <c r="K262" s="134"/>
      <c r="L262" s="134"/>
      <c r="M262" s="177"/>
      <c r="N262" s="302">
        <f t="shared" si="343"/>
        <v>0</v>
      </c>
      <c r="O262" s="144">
        <v>4978</v>
      </c>
      <c r="P262" s="144">
        <v>4978</v>
      </c>
      <c r="Q262" s="618">
        <v>4978</v>
      </c>
      <c r="R262" s="144">
        <v>4978</v>
      </c>
      <c r="S262" s="132">
        <f t="shared" si="446"/>
        <v>0</v>
      </c>
      <c r="T262" s="132">
        <f t="shared" si="447"/>
        <v>0</v>
      </c>
      <c r="U262" s="132">
        <f t="shared" si="447"/>
        <v>0</v>
      </c>
      <c r="V262" s="132">
        <f t="shared" si="447"/>
        <v>0</v>
      </c>
      <c r="W262" s="132">
        <f t="shared" si="447"/>
        <v>0</v>
      </c>
      <c r="X262" s="132">
        <f t="shared" si="448"/>
        <v>0</v>
      </c>
      <c r="Y262" s="104"/>
      <c r="AC262" s="521"/>
    </row>
    <row r="263" spans="1:197 16384:16384" ht="12.75" customHeight="1" outlineLevel="2" x14ac:dyDescent="0.2">
      <c r="A263" s="495">
        <v>7</v>
      </c>
      <c r="B263" s="127">
        <v>19</v>
      </c>
      <c r="C263" s="129" t="s">
        <v>302</v>
      </c>
      <c r="D263" s="128" t="s">
        <v>400</v>
      </c>
      <c r="E263" s="357" t="s">
        <v>401</v>
      </c>
      <c r="F263" s="130" t="s">
        <v>106</v>
      </c>
      <c r="G263" s="143" t="s">
        <v>107</v>
      </c>
      <c r="H263" s="133" t="s">
        <v>8</v>
      </c>
      <c r="I263" s="134" t="s">
        <v>68</v>
      </c>
      <c r="J263" s="134">
        <v>16</v>
      </c>
      <c r="K263" s="134"/>
      <c r="L263" s="134"/>
      <c r="M263" s="177"/>
      <c r="N263" s="302">
        <f t="shared" si="343"/>
        <v>16</v>
      </c>
      <c r="O263" s="144">
        <v>4978</v>
      </c>
      <c r="P263" s="144">
        <v>4978</v>
      </c>
      <c r="Q263" s="618">
        <v>4978</v>
      </c>
      <c r="R263" s="144">
        <v>4978</v>
      </c>
      <c r="S263" s="132">
        <f t="shared" si="446"/>
        <v>79648</v>
      </c>
      <c r="T263" s="132">
        <f t="shared" si="447"/>
        <v>77312</v>
      </c>
      <c r="U263" s="132">
        <f t="shared" si="447"/>
        <v>0</v>
      </c>
      <c r="V263" s="132">
        <f t="shared" ref="V263" si="524">IF(Q263&gt;prisgrense,L263*prisgrense,L263*Q263)</f>
        <v>0</v>
      </c>
      <c r="W263" s="132">
        <f t="shared" ref="W263" si="525">IF(R263&gt;prisgrense,M263*prisgrense,M263*R263)</f>
        <v>0</v>
      </c>
      <c r="X263" s="132">
        <f t="shared" si="448"/>
        <v>77312</v>
      </c>
      <c r="Y263" s="104"/>
      <c r="AC263" s="521"/>
    </row>
    <row r="264" spans="1:197 16384:16384" ht="12.75" customHeight="1" outlineLevel="2" x14ac:dyDescent="0.2">
      <c r="A264" s="495">
        <v>7</v>
      </c>
      <c r="B264" s="127">
        <v>20</v>
      </c>
      <c r="C264" s="129" t="s">
        <v>404</v>
      </c>
      <c r="D264" s="128" t="s">
        <v>584</v>
      </c>
      <c r="E264" s="357" t="s">
        <v>585</v>
      </c>
      <c r="F264" s="130" t="s">
        <v>106</v>
      </c>
      <c r="G264" s="143" t="s">
        <v>107</v>
      </c>
      <c r="H264" s="133" t="s">
        <v>8</v>
      </c>
      <c r="I264" s="134" t="s">
        <v>128</v>
      </c>
      <c r="J264" s="134">
        <v>2</v>
      </c>
      <c r="K264" s="134"/>
      <c r="L264" s="134"/>
      <c r="M264" s="177"/>
      <c r="N264" s="302">
        <f t="shared" ref="N264" si="526">SUM(J264:M264)</f>
        <v>2</v>
      </c>
      <c r="O264" s="144">
        <v>4328</v>
      </c>
      <c r="P264" s="144">
        <v>4328</v>
      </c>
      <c r="Q264" s="618">
        <v>4328</v>
      </c>
      <c r="R264" s="144">
        <v>4202</v>
      </c>
      <c r="S264" s="132">
        <f t="shared" ref="S264" si="527">SUMPRODUCT(J264:M264,O264:R264)</f>
        <v>8656</v>
      </c>
      <c r="T264" s="132">
        <f t="shared" ref="T264" si="528">IF(O264&gt;prisgrense,J264*prisgrense,J264*O264)</f>
        <v>8656</v>
      </c>
      <c r="U264" s="132">
        <f t="shared" ref="U264" si="529">IF(P264&gt;prisgrense,K264*prisgrense,K264*P264)</f>
        <v>0</v>
      </c>
      <c r="V264" s="132">
        <f t="shared" ref="V264" si="530">IF(Q264&gt;prisgrense,L264*prisgrense,L264*Q264)</f>
        <v>0</v>
      </c>
      <c r="W264" s="132">
        <f t="shared" ref="W264" si="531">IF(R264&gt;prisgrense,M264*prisgrense,M264*R264)</f>
        <v>0</v>
      </c>
      <c r="X264" s="132">
        <f t="shared" ref="X264" si="532">SUM(T264:W264)</f>
        <v>8656</v>
      </c>
      <c r="Y264" s="104" t="s">
        <v>532</v>
      </c>
      <c r="AC264" s="521"/>
    </row>
    <row r="265" spans="1:197 16384:16384" s="139" customFormat="1" ht="12.75" customHeight="1" outlineLevel="2" x14ac:dyDescent="0.2">
      <c r="A265" s="495">
        <v>7</v>
      </c>
      <c r="B265" s="127">
        <v>21</v>
      </c>
      <c r="C265" s="129" t="s">
        <v>144</v>
      </c>
      <c r="D265" s="128" t="s">
        <v>402</v>
      </c>
      <c r="E265" s="357" t="s">
        <v>403</v>
      </c>
      <c r="F265" s="130" t="s">
        <v>106</v>
      </c>
      <c r="G265" s="143" t="s">
        <v>107</v>
      </c>
      <c r="H265" s="133" t="s">
        <v>8</v>
      </c>
      <c r="I265" s="134" t="s">
        <v>68</v>
      </c>
      <c r="J265" s="134">
        <v>2</v>
      </c>
      <c r="K265" s="134"/>
      <c r="L265" s="134"/>
      <c r="M265" s="177"/>
      <c r="N265" s="302">
        <f t="shared" si="343"/>
        <v>2</v>
      </c>
      <c r="O265" s="144">
        <v>4112</v>
      </c>
      <c r="P265" s="144">
        <v>4112</v>
      </c>
      <c r="Q265" s="618">
        <v>4112</v>
      </c>
      <c r="R265" s="144">
        <v>3992</v>
      </c>
      <c r="S265" s="132">
        <f t="shared" si="446"/>
        <v>8224</v>
      </c>
      <c r="T265" s="132">
        <f t="shared" si="447"/>
        <v>8224</v>
      </c>
      <c r="U265" s="132">
        <f t="shared" si="447"/>
        <v>0</v>
      </c>
      <c r="V265" s="132">
        <f t="shared" si="447"/>
        <v>0</v>
      </c>
      <c r="W265" s="132">
        <f t="shared" si="447"/>
        <v>0</v>
      </c>
      <c r="X265" s="132">
        <f t="shared" si="448"/>
        <v>8224</v>
      </c>
      <c r="Y265" s="104"/>
      <c r="Z265" s="393"/>
      <c r="AA265" s="104"/>
      <c r="AB265" s="104"/>
      <c r="AC265" s="521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 s="104"/>
      <c r="BE265" s="104"/>
      <c r="BF265" s="104"/>
      <c r="BG265" s="104"/>
      <c r="BH265" s="104"/>
      <c r="BI265" s="104"/>
      <c r="BJ265" s="104"/>
      <c r="BK265" s="104"/>
      <c r="BL265" s="104"/>
      <c r="BM265" s="104"/>
      <c r="BN265" s="104"/>
      <c r="BO265" s="104"/>
      <c r="BP265" s="104"/>
      <c r="BQ265" s="104"/>
      <c r="BR265" s="104"/>
      <c r="BS265" s="104"/>
      <c r="BT265" s="104"/>
      <c r="BU265" s="104"/>
      <c r="BV265" s="104"/>
      <c r="BW265" s="104"/>
      <c r="BX265" s="104"/>
      <c r="BY265" s="104"/>
      <c r="BZ265" s="104"/>
      <c r="CA265" s="104"/>
      <c r="CB265" s="104"/>
      <c r="CC265" s="104"/>
      <c r="CD265" s="104"/>
      <c r="CE265" s="104"/>
      <c r="CF265" s="104"/>
      <c r="CG265" s="104"/>
      <c r="CH265" s="104"/>
      <c r="CI265" s="104"/>
      <c r="CJ265" s="104"/>
      <c r="CK265" s="104"/>
      <c r="CL265" s="104"/>
      <c r="CM265" s="104"/>
      <c r="CN265" s="104"/>
      <c r="CO265" s="104"/>
      <c r="CP265" s="104"/>
      <c r="CQ265" s="104"/>
      <c r="CR265" s="104"/>
      <c r="CS265" s="104"/>
      <c r="CT265" s="104"/>
      <c r="CU265" s="104"/>
      <c r="CV265" s="104"/>
      <c r="CW265" s="104"/>
      <c r="CX265" s="104"/>
      <c r="CY265" s="104"/>
      <c r="CZ265" s="104"/>
      <c r="DA265" s="104"/>
      <c r="DB265" s="104"/>
      <c r="DC265" s="104"/>
      <c r="DD265" s="104"/>
      <c r="DE265" s="104"/>
      <c r="DF265" s="104"/>
      <c r="DG265" s="104"/>
      <c r="DH265" s="104"/>
      <c r="DI265" s="104"/>
      <c r="DJ265" s="104"/>
      <c r="DK265" s="104"/>
      <c r="DL265" s="104"/>
      <c r="DM265" s="104"/>
      <c r="DN265" s="104"/>
      <c r="DO265" s="104"/>
      <c r="DP265" s="104"/>
      <c r="DQ265" s="104"/>
      <c r="DR265" s="104"/>
      <c r="DS265" s="104"/>
      <c r="DT265" s="104"/>
      <c r="DU265" s="104"/>
      <c r="DV265" s="104"/>
      <c r="DW265" s="104"/>
      <c r="DX265" s="104"/>
      <c r="DY265" s="104"/>
      <c r="DZ265" s="104"/>
      <c r="EA265" s="104"/>
      <c r="EB265" s="104"/>
      <c r="EC265" s="104"/>
      <c r="ED265" s="104"/>
      <c r="EE265" s="104"/>
      <c r="EF265" s="104"/>
      <c r="EG265" s="104"/>
      <c r="EH265" s="104"/>
      <c r="EI265" s="104"/>
      <c r="EJ265" s="104"/>
      <c r="EK265" s="104"/>
      <c r="EL265" s="104"/>
      <c r="EM265" s="104"/>
      <c r="EN265" s="104"/>
      <c r="EO265" s="104"/>
      <c r="EP265" s="104"/>
      <c r="EQ265" s="104"/>
      <c r="ER265" s="104"/>
      <c r="ES265" s="104"/>
      <c r="ET265" s="104"/>
      <c r="EU265" s="104"/>
      <c r="EV265" s="104"/>
      <c r="EW265" s="104"/>
      <c r="EX265" s="104"/>
      <c r="EY265" s="104"/>
      <c r="EZ265" s="104"/>
      <c r="FA265" s="104"/>
      <c r="FB265" s="104"/>
      <c r="FC265" s="104"/>
      <c r="FD265" s="104"/>
      <c r="FE265" s="104"/>
      <c r="FF265" s="104"/>
      <c r="FG265" s="104"/>
      <c r="FH265" s="104"/>
      <c r="FI265" s="104"/>
      <c r="FJ265" s="104"/>
      <c r="FK265" s="104"/>
      <c r="FL265" s="104"/>
      <c r="FM265" s="104"/>
      <c r="FN265" s="104"/>
      <c r="FO265" s="104"/>
      <c r="FP265" s="104"/>
      <c r="FQ265" s="104"/>
      <c r="FR265" s="104"/>
      <c r="FS265" s="104"/>
      <c r="FT265" s="104"/>
      <c r="FU265" s="104"/>
      <c r="FV265" s="104"/>
      <c r="FW265" s="104"/>
      <c r="FX265" s="104"/>
      <c r="FY265" s="104"/>
      <c r="FZ265" s="104"/>
      <c r="GA265" s="104"/>
      <c r="GB265" s="104"/>
      <c r="GC265" s="104"/>
      <c r="GD265" s="104"/>
      <c r="GE265" s="104"/>
      <c r="GF265" s="104"/>
      <c r="GG265" s="104"/>
      <c r="GH265" s="104"/>
      <c r="GI265" s="104"/>
      <c r="GJ265" s="104"/>
      <c r="GK265" s="104"/>
      <c r="GL265" s="104"/>
      <c r="GM265" s="104"/>
      <c r="GN265" s="104"/>
      <c r="GO265" s="104"/>
    </row>
    <row r="266" spans="1:197 16384:16384" ht="12.75" customHeight="1" outlineLevel="2" x14ac:dyDescent="0.2">
      <c r="A266" s="495">
        <v>7</v>
      </c>
      <c r="B266" s="127">
        <v>22</v>
      </c>
      <c r="C266" s="129" t="s">
        <v>404</v>
      </c>
      <c r="D266" s="129" t="s">
        <v>405</v>
      </c>
      <c r="E266" s="184">
        <v>129586</v>
      </c>
      <c r="F266" s="130" t="s">
        <v>106</v>
      </c>
      <c r="G266" s="143" t="s">
        <v>107</v>
      </c>
      <c r="H266" s="133" t="s">
        <v>8</v>
      </c>
      <c r="I266" s="134" t="s">
        <v>168</v>
      </c>
      <c r="J266" s="129">
        <v>26</v>
      </c>
      <c r="K266" s="129"/>
      <c r="L266" s="129"/>
      <c r="M266" s="141"/>
      <c r="N266" s="302">
        <f t="shared" si="343"/>
        <v>26</v>
      </c>
      <c r="O266" s="144">
        <v>5081</v>
      </c>
      <c r="P266" s="144">
        <v>5081</v>
      </c>
      <c r="Q266" s="618">
        <v>5081</v>
      </c>
      <c r="R266" s="144">
        <v>5081</v>
      </c>
      <c r="S266" s="132">
        <f t="shared" si="446"/>
        <v>132106</v>
      </c>
      <c r="T266" s="132">
        <f t="shared" si="447"/>
        <v>125632</v>
      </c>
      <c r="U266" s="132">
        <f t="shared" si="447"/>
        <v>0</v>
      </c>
      <c r="V266" s="132">
        <f t="shared" si="447"/>
        <v>0</v>
      </c>
      <c r="W266" s="132">
        <f t="shared" si="447"/>
        <v>0</v>
      </c>
      <c r="X266" s="132">
        <f t="shared" si="448"/>
        <v>125632</v>
      </c>
      <c r="Y266" s="104"/>
      <c r="AC266" s="521"/>
    </row>
    <row r="267" spans="1:197 16384:16384" ht="12.75" customHeight="1" outlineLevel="2" x14ac:dyDescent="0.2">
      <c r="A267" s="495">
        <v>7</v>
      </c>
      <c r="B267" s="127">
        <v>22</v>
      </c>
      <c r="C267" s="129" t="s">
        <v>404</v>
      </c>
      <c r="D267" s="129" t="s">
        <v>406</v>
      </c>
      <c r="E267" s="184">
        <v>126291</v>
      </c>
      <c r="F267" s="130" t="s">
        <v>106</v>
      </c>
      <c r="G267" s="143" t="s">
        <v>107</v>
      </c>
      <c r="H267" s="133" t="s">
        <v>8</v>
      </c>
      <c r="I267" s="134" t="s">
        <v>168</v>
      </c>
      <c r="J267" s="129">
        <v>2</v>
      </c>
      <c r="K267" s="129"/>
      <c r="L267" s="129"/>
      <c r="M267" s="141"/>
      <c r="N267" s="302">
        <f t="shared" ref="N267:N333" si="533">SUM(J267:M267)</f>
        <v>2</v>
      </c>
      <c r="O267" s="144">
        <v>5081</v>
      </c>
      <c r="P267" s="144">
        <v>5081</v>
      </c>
      <c r="Q267" s="618">
        <v>5081</v>
      </c>
      <c r="R267" s="144">
        <v>5081</v>
      </c>
      <c r="S267" s="132">
        <f t="shared" si="446"/>
        <v>10162</v>
      </c>
      <c r="T267" s="132">
        <f t="shared" si="447"/>
        <v>9664</v>
      </c>
      <c r="U267" s="132">
        <f t="shared" si="447"/>
        <v>0</v>
      </c>
      <c r="V267" s="132">
        <f t="shared" si="447"/>
        <v>0</v>
      </c>
      <c r="W267" s="132">
        <f t="shared" si="447"/>
        <v>0</v>
      </c>
      <c r="X267" s="132">
        <f t="shared" si="448"/>
        <v>9664</v>
      </c>
      <c r="Y267" s="104"/>
      <c r="AC267" s="521"/>
    </row>
    <row r="268" spans="1:197 16384:16384" ht="12.75" customHeight="1" outlineLevel="2" x14ac:dyDescent="0.2">
      <c r="A268" s="495">
        <v>7</v>
      </c>
      <c r="B268" s="127">
        <v>25</v>
      </c>
      <c r="C268" s="129" t="s">
        <v>408</v>
      </c>
      <c r="D268" s="129" t="s">
        <v>409</v>
      </c>
      <c r="E268" s="184">
        <v>18666900</v>
      </c>
      <c r="F268" s="130" t="s">
        <v>817</v>
      </c>
      <c r="G268" s="143" t="s">
        <v>58</v>
      </c>
      <c r="H268" s="133" t="s">
        <v>8</v>
      </c>
      <c r="I268" s="134" t="s">
        <v>128</v>
      </c>
      <c r="J268" s="134"/>
      <c r="K268" s="134"/>
      <c r="L268" s="134"/>
      <c r="M268" s="177"/>
      <c r="N268" s="302">
        <f t="shared" si="533"/>
        <v>0</v>
      </c>
      <c r="O268" s="149">
        <v>5951</v>
      </c>
      <c r="P268" s="149">
        <v>5951</v>
      </c>
      <c r="Q268" s="619">
        <v>5951</v>
      </c>
      <c r="R268" s="149">
        <v>5778</v>
      </c>
      <c r="S268" s="132">
        <f t="shared" si="446"/>
        <v>0</v>
      </c>
      <c r="T268" s="132">
        <f t="shared" si="447"/>
        <v>0</v>
      </c>
      <c r="U268" s="132">
        <f t="shared" si="447"/>
        <v>0</v>
      </c>
      <c r="V268" s="132">
        <f t="shared" si="447"/>
        <v>0</v>
      </c>
      <c r="W268" s="132">
        <f t="shared" si="447"/>
        <v>0</v>
      </c>
      <c r="X268" s="132">
        <f t="shared" si="448"/>
        <v>0</v>
      </c>
      <c r="Y268" s="104"/>
      <c r="AC268" s="521"/>
    </row>
    <row r="269" spans="1:197 16384:16384" ht="12.75" customHeight="1" outlineLevel="2" x14ac:dyDescent="0.2">
      <c r="A269" s="495">
        <v>7</v>
      </c>
      <c r="B269" s="127">
        <v>26</v>
      </c>
      <c r="C269" s="129" t="s">
        <v>408</v>
      </c>
      <c r="D269" s="129" t="s">
        <v>410</v>
      </c>
      <c r="E269" s="184">
        <v>19084100</v>
      </c>
      <c r="F269" s="130" t="s">
        <v>817</v>
      </c>
      <c r="G269" s="143" t="s">
        <v>58</v>
      </c>
      <c r="H269" s="133" t="s">
        <v>8</v>
      </c>
      <c r="I269" s="134" t="s">
        <v>128</v>
      </c>
      <c r="J269" s="134"/>
      <c r="K269" s="134"/>
      <c r="L269" s="134"/>
      <c r="M269" s="177"/>
      <c r="N269" s="302">
        <f t="shared" si="533"/>
        <v>0</v>
      </c>
      <c r="O269" s="149">
        <v>5951</v>
      </c>
      <c r="P269" s="149">
        <v>5951</v>
      </c>
      <c r="Q269" s="619">
        <v>5951</v>
      </c>
      <c r="R269" s="149">
        <v>5778</v>
      </c>
      <c r="S269" s="132">
        <f t="shared" si="446"/>
        <v>0</v>
      </c>
      <c r="T269" s="132">
        <f t="shared" si="447"/>
        <v>0</v>
      </c>
      <c r="U269" s="132">
        <f t="shared" si="447"/>
        <v>0</v>
      </c>
      <c r="V269" s="132">
        <f t="shared" si="447"/>
        <v>0</v>
      </c>
      <c r="W269" s="132">
        <f t="shared" si="447"/>
        <v>0</v>
      </c>
      <c r="X269" s="132">
        <f t="shared" si="448"/>
        <v>0</v>
      </c>
      <c r="Y269" s="104"/>
      <c r="AC269" s="521"/>
    </row>
    <row r="270" spans="1:197 16384:16384" ht="12.75" customHeight="1" outlineLevel="2" x14ac:dyDescent="0.2">
      <c r="A270" s="495">
        <v>7</v>
      </c>
      <c r="B270" s="127">
        <v>27</v>
      </c>
      <c r="C270" s="129" t="s">
        <v>408</v>
      </c>
      <c r="D270" s="129" t="s">
        <v>411</v>
      </c>
      <c r="E270" s="184">
        <v>19195600</v>
      </c>
      <c r="F270" s="130" t="s">
        <v>817</v>
      </c>
      <c r="G270" s="143" t="s">
        <v>58</v>
      </c>
      <c r="H270" s="133" t="s">
        <v>8</v>
      </c>
      <c r="I270" s="134" t="s">
        <v>168</v>
      </c>
      <c r="J270" s="134">
        <v>4</v>
      </c>
      <c r="K270" s="134"/>
      <c r="L270" s="134"/>
      <c r="M270" s="177"/>
      <c r="N270" s="302">
        <f t="shared" si="533"/>
        <v>4</v>
      </c>
      <c r="O270" s="149">
        <v>5951</v>
      </c>
      <c r="P270" s="149">
        <v>5951</v>
      </c>
      <c r="Q270" s="619">
        <v>5951</v>
      </c>
      <c r="R270" s="149">
        <v>5778</v>
      </c>
      <c r="S270" s="132">
        <f t="shared" si="446"/>
        <v>23804</v>
      </c>
      <c r="T270" s="132">
        <f t="shared" si="447"/>
        <v>19328</v>
      </c>
      <c r="U270" s="132">
        <f t="shared" si="447"/>
        <v>0</v>
      </c>
      <c r="V270" s="132">
        <f t="shared" si="447"/>
        <v>0</v>
      </c>
      <c r="W270" s="132">
        <f t="shared" si="447"/>
        <v>0</v>
      </c>
      <c r="X270" s="132">
        <f t="shared" si="448"/>
        <v>19328</v>
      </c>
      <c r="Y270" s="104"/>
      <c r="AC270" s="521"/>
    </row>
    <row r="271" spans="1:197 16384:16384" ht="12.75" customHeight="1" outlineLevel="2" x14ac:dyDescent="0.2">
      <c r="A271" s="495">
        <v>7</v>
      </c>
      <c r="B271" s="127">
        <v>28</v>
      </c>
      <c r="C271" s="129"/>
      <c r="D271" s="129" t="s">
        <v>412</v>
      </c>
      <c r="E271" s="184" t="s">
        <v>413</v>
      </c>
      <c r="F271" s="135" t="s">
        <v>792</v>
      </c>
      <c r="G271" s="143" t="s">
        <v>104</v>
      </c>
      <c r="H271" s="133" t="s">
        <v>8</v>
      </c>
      <c r="I271" s="134" t="s">
        <v>68</v>
      </c>
      <c r="J271" s="134">
        <v>4</v>
      </c>
      <c r="K271" s="134"/>
      <c r="L271" s="134"/>
      <c r="M271" s="177"/>
      <c r="N271" s="302">
        <f t="shared" si="533"/>
        <v>4</v>
      </c>
      <c r="O271" s="392">
        <v>8889</v>
      </c>
      <c r="P271" s="392">
        <v>8889</v>
      </c>
      <c r="Q271" s="616">
        <v>8889</v>
      </c>
      <c r="R271" s="392">
        <v>8630</v>
      </c>
      <c r="S271" s="132">
        <f t="shared" si="446"/>
        <v>35556</v>
      </c>
      <c r="T271" s="132">
        <f t="shared" si="447"/>
        <v>19328</v>
      </c>
      <c r="U271" s="132">
        <f t="shared" si="447"/>
        <v>0</v>
      </c>
      <c r="V271" s="132">
        <f t="shared" si="447"/>
        <v>0</v>
      </c>
      <c r="W271" s="132">
        <f t="shared" si="447"/>
        <v>0</v>
      </c>
      <c r="X271" s="132">
        <f t="shared" si="448"/>
        <v>19328</v>
      </c>
      <c r="Y271" s="104"/>
      <c r="AC271" s="521"/>
    </row>
    <row r="272" spans="1:197 16384:16384" ht="12.75" customHeight="1" outlineLevel="1" x14ac:dyDescent="0.2">
      <c r="A272" s="498" t="s">
        <v>560</v>
      </c>
      <c r="B272" s="166"/>
      <c r="C272" s="154"/>
      <c r="D272" s="154" t="s">
        <v>392</v>
      </c>
      <c r="E272" s="320"/>
      <c r="F272" s="182"/>
      <c r="G272" s="183"/>
      <c r="H272" s="397"/>
      <c r="I272" s="172"/>
      <c r="J272" s="172">
        <f>SUBTOTAL(9,J242:J271)</f>
        <v>454</v>
      </c>
      <c r="K272" s="172">
        <f>SUBTOTAL(9,K242:K271)</f>
        <v>0</v>
      </c>
      <c r="L272" s="172">
        <f>SUBTOTAL(9,L242:L271)</f>
        <v>0</v>
      </c>
      <c r="M272" s="172">
        <f>SUBTOTAL(9,M242:M271)</f>
        <v>0</v>
      </c>
      <c r="N272" s="348">
        <f>SUBTOTAL(9,N242:N271)</f>
        <v>454</v>
      </c>
      <c r="O272" s="154"/>
      <c r="P272" s="172"/>
      <c r="Q272" s="154"/>
      <c r="R272" s="154"/>
      <c r="S272" s="400">
        <f t="shared" ref="S272:X272" si="534">SUBTOTAL(9,S242:S271)</f>
        <v>1972418</v>
      </c>
      <c r="T272" s="400">
        <f t="shared" si="534"/>
        <v>1942406</v>
      </c>
      <c r="U272" s="400">
        <f t="shared" si="534"/>
        <v>0</v>
      </c>
      <c r="V272" s="400">
        <f t="shared" si="534"/>
        <v>0</v>
      </c>
      <c r="W272" s="400">
        <f t="shared" si="534"/>
        <v>0</v>
      </c>
      <c r="X272" s="400">
        <f t="shared" si="534"/>
        <v>1942406</v>
      </c>
      <c r="Y272" s="104"/>
      <c r="AC272" s="521"/>
      <c r="XFD272" s="104">
        <f>SUBTOTAL(9,XFD242:XFD271)</f>
        <v>0</v>
      </c>
    </row>
    <row r="273" spans="1:215" ht="12.75" customHeight="1" outlineLevel="1" x14ac:dyDescent="0.2">
      <c r="A273" s="493"/>
      <c r="B273" s="166"/>
      <c r="C273" s="154"/>
      <c r="D273" s="169"/>
      <c r="E273" s="320"/>
      <c r="F273" s="170"/>
      <c r="G273" s="170"/>
      <c r="H273" s="171"/>
      <c r="I273" s="172"/>
      <c r="J273" s="172"/>
      <c r="K273" s="172"/>
      <c r="L273" s="172"/>
      <c r="M273" s="172"/>
      <c r="N273" s="348"/>
      <c r="O273" s="155"/>
      <c r="P273" s="155"/>
      <c r="Q273" s="155"/>
      <c r="R273" s="155"/>
      <c r="Y273" s="104"/>
      <c r="AC273" s="521"/>
    </row>
    <row r="274" spans="1:215" s="126" customFormat="1" ht="12.75" customHeight="1" outlineLevel="2" x14ac:dyDescent="0.2">
      <c r="A274" s="493">
        <v>8</v>
      </c>
      <c r="B274" s="124"/>
      <c r="C274" s="125" t="s">
        <v>414</v>
      </c>
      <c r="D274" s="168" t="s">
        <v>415</v>
      </c>
      <c r="E274" s="355"/>
      <c r="F274" s="174"/>
      <c r="G274" s="174"/>
      <c r="H274" s="174"/>
      <c r="I274" s="176"/>
      <c r="J274" s="176"/>
      <c r="K274" s="176"/>
      <c r="L274" s="176"/>
      <c r="M274" s="176"/>
      <c r="N274" s="347"/>
      <c r="O274" s="175"/>
      <c r="P274" s="175"/>
      <c r="Q274" s="175"/>
      <c r="R274" s="175"/>
      <c r="Z274" s="474"/>
      <c r="AC274" s="521"/>
    </row>
    <row r="275" spans="1:215" ht="12.75" customHeight="1" outlineLevel="2" x14ac:dyDescent="0.2">
      <c r="A275" s="495">
        <v>8</v>
      </c>
      <c r="B275" s="150">
        <v>1</v>
      </c>
      <c r="C275" s="156" t="s">
        <v>416</v>
      </c>
      <c r="D275" s="129" t="s">
        <v>417</v>
      </c>
      <c r="E275" s="184">
        <v>20205000</v>
      </c>
      <c r="F275" s="130" t="s">
        <v>817</v>
      </c>
      <c r="G275" s="143" t="s">
        <v>58</v>
      </c>
      <c r="H275" s="135" t="s">
        <v>9</v>
      </c>
      <c r="I275" s="129" t="s">
        <v>504</v>
      </c>
      <c r="J275" s="129"/>
      <c r="K275" s="129"/>
      <c r="L275" s="129"/>
      <c r="M275" s="141"/>
      <c r="N275" s="302">
        <f t="shared" si="533"/>
        <v>0</v>
      </c>
      <c r="O275" s="149">
        <v>1623</v>
      </c>
      <c r="P275" s="149">
        <v>1623</v>
      </c>
      <c r="Q275" s="619">
        <v>1623</v>
      </c>
      <c r="R275" s="149">
        <v>1576</v>
      </c>
      <c r="S275" s="132">
        <f t="shared" ref="S275:S341" si="535">SUMPRODUCT(J275:M275,O275:R275)</f>
        <v>0</v>
      </c>
      <c r="T275" s="132">
        <f t="shared" ref="T275:W309" si="536">IF(O275&gt;prisgrense,J275*prisgrense,J275*O275)</f>
        <v>0</v>
      </c>
      <c r="U275" s="132">
        <f t="shared" si="536"/>
        <v>0</v>
      </c>
      <c r="V275" s="132">
        <f t="shared" si="536"/>
        <v>0</v>
      </c>
      <c r="W275" s="132">
        <f t="shared" si="536"/>
        <v>0</v>
      </c>
      <c r="X275" s="132">
        <f t="shared" ref="X275:X341" si="537">SUM(T275:W275)</f>
        <v>0</v>
      </c>
      <c r="Y275" s="104"/>
      <c r="AC275" s="521"/>
    </row>
    <row r="276" spans="1:215" ht="12.75" customHeight="1" outlineLevel="2" x14ac:dyDescent="0.2">
      <c r="A276" s="495">
        <v>8</v>
      </c>
      <c r="B276" s="150">
        <v>2</v>
      </c>
      <c r="C276" s="156" t="s">
        <v>416</v>
      </c>
      <c r="D276" s="129" t="s">
        <v>418</v>
      </c>
      <c r="E276" s="184">
        <v>20195000</v>
      </c>
      <c r="F276" s="130" t="s">
        <v>817</v>
      </c>
      <c r="G276" s="143" t="s">
        <v>58</v>
      </c>
      <c r="H276" s="135" t="s">
        <v>9</v>
      </c>
      <c r="I276" s="129" t="s">
        <v>504</v>
      </c>
      <c r="J276" s="129"/>
      <c r="K276" s="129"/>
      <c r="L276" s="129"/>
      <c r="M276" s="141"/>
      <c r="N276" s="302">
        <f t="shared" si="533"/>
        <v>0</v>
      </c>
      <c r="O276" s="149">
        <v>1623</v>
      </c>
      <c r="P276" s="149">
        <v>1623</v>
      </c>
      <c r="Q276" s="619">
        <v>1623</v>
      </c>
      <c r="R276" s="149">
        <v>1576</v>
      </c>
      <c r="S276" s="132">
        <f t="shared" si="535"/>
        <v>0</v>
      </c>
      <c r="T276" s="132">
        <f t="shared" si="536"/>
        <v>0</v>
      </c>
      <c r="U276" s="132">
        <f t="shared" si="536"/>
        <v>0</v>
      </c>
      <c r="V276" s="132">
        <f t="shared" si="536"/>
        <v>0</v>
      </c>
      <c r="W276" s="132">
        <f t="shared" si="536"/>
        <v>0</v>
      </c>
      <c r="X276" s="132">
        <f t="shared" si="537"/>
        <v>0</v>
      </c>
      <c r="Y276" s="167"/>
      <c r="Z276" s="328"/>
      <c r="AA276" s="167"/>
      <c r="AB276" s="167"/>
      <c r="AC276" s="521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7"/>
      <c r="BQ276" s="167"/>
      <c r="BR276" s="167"/>
      <c r="BS276" s="167"/>
      <c r="BT276" s="167"/>
      <c r="BU276" s="167"/>
      <c r="BV276" s="167"/>
      <c r="BW276" s="167"/>
      <c r="BX276" s="167"/>
      <c r="BY276" s="167"/>
      <c r="BZ276" s="167"/>
      <c r="CA276" s="167"/>
      <c r="CB276" s="167"/>
      <c r="CC276" s="167"/>
      <c r="CD276" s="167"/>
      <c r="CE276" s="167"/>
      <c r="CF276" s="167"/>
      <c r="CG276" s="167"/>
      <c r="CH276" s="167"/>
      <c r="CI276" s="167"/>
      <c r="CJ276" s="167"/>
      <c r="CK276" s="167"/>
      <c r="CL276" s="167"/>
      <c r="CM276" s="167"/>
      <c r="CN276" s="167"/>
      <c r="CO276" s="167"/>
      <c r="CP276" s="167"/>
      <c r="CQ276" s="167"/>
      <c r="CR276" s="167"/>
      <c r="CS276" s="167"/>
      <c r="CT276" s="167"/>
      <c r="CU276" s="167"/>
      <c r="CV276" s="167"/>
      <c r="CW276" s="167"/>
      <c r="CX276" s="167"/>
      <c r="CY276" s="167"/>
      <c r="CZ276" s="167"/>
      <c r="DA276" s="167"/>
      <c r="DB276" s="167"/>
      <c r="DC276" s="167"/>
      <c r="DD276" s="167"/>
      <c r="DE276" s="167"/>
      <c r="DF276" s="167"/>
      <c r="DG276" s="167"/>
      <c r="DH276" s="167"/>
      <c r="DI276" s="167"/>
      <c r="DJ276" s="167"/>
      <c r="DK276" s="167"/>
      <c r="DL276" s="167"/>
      <c r="DM276" s="167"/>
      <c r="DN276" s="167"/>
      <c r="DO276" s="167"/>
      <c r="DP276" s="167"/>
      <c r="DQ276" s="167"/>
      <c r="DR276" s="167"/>
      <c r="DS276" s="167"/>
      <c r="DT276" s="167"/>
      <c r="DU276" s="167"/>
      <c r="DV276" s="167"/>
      <c r="DW276" s="167"/>
      <c r="DX276" s="167"/>
      <c r="DY276" s="167"/>
      <c r="DZ276" s="167"/>
      <c r="EA276" s="167"/>
      <c r="EB276" s="167"/>
      <c r="EC276" s="167"/>
      <c r="ED276" s="167"/>
      <c r="EE276" s="167"/>
      <c r="EF276" s="167"/>
      <c r="EG276" s="167"/>
      <c r="EH276" s="167"/>
      <c r="EI276" s="167"/>
      <c r="EJ276" s="167"/>
      <c r="EK276" s="167"/>
      <c r="EL276" s="167"/>
      <c r="EM276" s="167"/>
      <c r="EN276" s="167"/>
      <c r="EO276" s="167"/>
      <c r="EP276" s="167"/>
      <c r="EQ276" s="167"/>
      <c r="ER276" s="167"/>
      <c r="ES276" s="167"/>
      <c r="ET276" s="167"/>
      <c r="EU276" s="167"/>
      <c r="EV276" s="167"/>
      <c r="EW276" s="167"/>
      <c r="EX276" s="167"/>
      <c r="EY276" s="167"/>
      <c r="EZ276" s="167"/>
      <c r="FA276" s="167"/>
      <c r="FB276" s="167"/>
      <c r="FC276" s="167"/>
      <c r="FD276" s="167"/>
      <c r="FE276" s="167"/>
      <c r="FF276" s="167"/>
      <c r="FG276" s="167"/>
      <c r="FH276" s="167"/>
      <c r="FI276" s="167"/>
      <c r="FJ276" s="167"/>
      <c r="FK276" s="167"/>
      <c r="FL276" s="167"/>
      <c r="FM276" s="167"/>
      <c r="FN276" s="167"/>
      <c r="FO276" s="167"/>
      <c r="FP276" s="167"/>
      <c r="FQ276" s="167"/>
      <c r="FR276" s="167"/>
      <c r="FS276" s="167"/>
      <c r="FT276" s="167"/>
      <c r="FU276" s="167"/>
      <c r="FV276" s="167"/>
      <c r="FW276" s="167"/>
      <c r="FX276" s="167"/>
      <c r="FY276" s="167"/>
      <c r="FZ276" s="167"/>
      <c r="GA276" s="167"/>
      <c r="GB276" s="167"/>
      <c r="GC276" s="167"/>
      <c r="GD276" s="167"/>
      <c r="GE276" s="167"/>
      <c r="GF276" s="167"/>
      <c r="GG276" s="167"/>
      <c r="GH276" s="167"/>
      <c r="GI276" s="167"/>
      <c r="GJ276" s="167"/>
      <c r="GK276" s="167"/>
      <c r="GL276" s="167"/>
      <c r="GM276" s="167"/>
      <c r="GN276" s="167"/>
      <c r="GO276" s="167"/>
      <c r="GP276" s="167"/>
      <c r="GQ276" s="167"/>
      <c r="GR276" s="167"/>
      <c r="GS276" s="167"/>
      <c r="GT276" s="167"/>
      <c r="GU276" s="167"/>
      <c r="GV276" s="167"/>
      <c r="GW276" s="167"/>
      <c r="GX276" s="167"/>
      <c r="GY276" s="167"/>
      <c r="GZ276" s="167"/>
      <c r="HA276" s="167"/>
      <c r="HB276" s="167"/>
      <c r="HC276" s="167"/>
      <c r="HD276" s="167"/>
      <c r="HE276" s="167"/>
      <c r="HF276" s="167"/>
      <c r="HG276" s="167"/>
    </row>
    <row r="277" spans="1:215" ht="12.75" customHeight="1" outlineLevel="2" x14ac:dyDescent="0.2">
      <c r="A277" s="495">
        <v>8</v>
      </c>
      <c r="B277" s="150">
        <v>3</v>
      </c>
      <c r="C277" s="156">
        <v>5</v>
      </c>
      <c r="D277" s="129" t="s">
        <v>839</v>
      </c>
      <c r="E277" s="184"/>
      <c r="F277" s="135" t="s">
        <v>151</v>
      </c>
      <c r="G277" s="137" t="s">
        <v>83</v>
      </c>
      <c r="H277" s="135" t="s">
        <v>8</v>
      </c>
      <c r="I277" s="129" t="s">
        <v>68</v>
      </c>
      <c r="J277" s="129"/>
      <c r="K277" s="129"/>
      <c r="L277" s="134"/>
      <c r="M277" s="141"/>
      <c r="N277" s="302">
        <f t="shared" ref="N277" si="538">SUM(J277:M277)</f>
        <v>0</v>
      </c>
      <c r="O277" s="146">
        <v>4004</v>
      </c>
      <c r="P277" s="146">
        <v>4004</v>
      </c>
      <c r="Q277" s="622">
        <v>4004</v>
      </c>
      <c r="R277" s="146">
        <v>3887</v>
      </c>
      <c r="S277" s="132">
        <f t="shared" ref="S277" si="539">SUMPRODUCT(J277:M277,O277:R277)</f>
        <v>0</v>
      </c>
      <c r="T277" s="132">
        <f t="shared" ref="T277" si="540">IF(O277&gt;prisgrense,J277*prisgrense,J277*O277)</f>
        <v>0</v>
      </c>
      <c r="U277" s="132">
        <f t="shared" ref="U277" si="541">IF(P277&gt;prisgrense,K277*prisgrense,K277*P277)</f>
        <v>0</v>
      </c>
      <c r="V277" s="132">
        <f t="shared" ref="V277" si="542">IF(Q277&gt;prisgrense,L277*prisgrense,L277*Q277)</f>
        <v>0</v>
      </c>
      <c r="W277" s="132">
        <f t="shared" ref="W277" si="543">IF(R277&gt;prisgrense,M277*prisgrense,M277*R277)</f>
        <v>0</v>
      </c>
      <c r="X277" s="132">
        <f t="shared" ref="X277" si="544">SUM(T277:W277)</f>
        <v>0</v>
      </c>
      <c r="Y277" s="104" t="s">
        <v>835</v>
      </c>
      <c r="AC277" s="521"/>
    </row>
    <row r="278" spans="1:215" ht="12.75" customHeight="1" outlineLevel="2" x14ac:dyDescent="0.2">
      <c r="A278" s="495">
        <v>8</v>
      </c>
      <c r="B278" s="150">
        <v>4</v>
      </c>
      <c r="C278" s="156">
        <v>5</v>
      </c>
      <c r="D278" s="129" t="s">
        <v>840</v>
      </c>
      <c r="E278" s="184"/>
      <c r="F278" s="135" t="s">
        <v>151</v>
      </c>
      <c r="G278" s="137" t="s">
        <v>83</v>
      </c>
      <c r="H278" s="135" t="s">
        <v>8</v>
      </c>
      <c r="I278" s="129" t="s">
        <v>68</v>
      </c>
      <c r="J278" s="129"/>
      <c r="K278" s="129"/>
      <c r="L278" s="134"/>
      <c r="M278" s="141"/>
      <c r="N278" s="302">
        <f t="shared" ref="N278" si="545">SUM(J278:M278)</f>
        <v>0</v>
      </c>
      <c r="O278" s="146">
        <v>4004</v>
      </c>
      <c r="P278" s="146">
        <v>4004</v>
      </c>
      <c r="Q278" s="622">
        <v>4004</v>
      </c>
      <c r="R278" s="146">
        <v>3887</v>
      </c>
      <c r="S278" s="132">
        <f t="shared" ref="S278" si="546">SUMPRODUCT(J278:M278,O278:R278)</f>
        <v>0</v>
      </c>
      <c r="T278" s="132">
        <f t="shared" ref="T278" si="547">IF(O278&gt;prisgrense,J278*prisgrense,J278*O278)</f>
        <v>0</v>
      </c>
      <c r="U278" s="132">
        <f t="shared" ref="U278" si="548">IF(P278&gt;prisgrense,K278*prisgrense,K278*P278)</f>
        <v>0</v>
      </c>
      <c r="V278" s="132">
        <f t="shared" ref="V278" si="549">IF(Q278&gt;prisgrense,L278*prisgrense,L278*Q278)</f>
        <v>0</v>
      </c>
      <c r="W278" s="132">
        <f t="shared" ref="W278" si="550">IF(R278&gt;prisgrense,M278*prisgrense,M278*R278)</f>
        <v>0</v>
      </c>
      <c r="X278" s="132">
        <f t="shared" ref="X278" si="551">SUM(T278:W278)</f>
        <v>0</v>
      </c>
      <c r="Y278" s="104" t="s">
        <v>835</v>
      </c>
      <c r="AC278" s="521"/>
    </row>
    <row r="279" spans="1:215" ht="12.75" customHeight="1" outlineLevel="2" x14ac:dyDescent="0.2">
      <c r="A279" s="495">
        <v>8</v>
      </c>
      <c r="B279" s="150">
        <v>5</v>
      </c>
      <c r="C279" s="129" t="s">
        <v>416</v>
      </c>
      <c r="D279" s="129" t="s">
        <v>152</v>
      </c>
      <c r="E279" s="184">
        <v>18972100</v>
      </c>
      <c r="F279" s="130" t="s">
        <v>817</v>
      </c>
      <c r="G279" s="131" t="s">
        <v>58</v>
      </c>
      <c r="H279" s="135" t="s">
        <v>8</v>
      </c>
      <c r="I279" s="129" t="s">
        <v>128</v>
      </c>
      <c r="J279" s="129"/>
      <c r="K279" s="129"/>
      <c r="L279" s="129"/>
      <c r="M279" s="141"/>
      <c r="N279" s="302">
        <f t="shared" si="533"/>
        <v>0</v>
      </c>
      <c r="O279" s="149">
        <v>3246</v>
      </c>
      <c r="P279" s="149">
        <v>3246</v>
      </c>
      <c r="Q279" s="619">
        <v>3246</v>
      </c>
      <c r="R279" s="149">
        <v>3151</v>
      </c>
      <c r="S279" s="132">
        <f t="shared" si="535"/>
        <v>0</v>
      </c>
      <c r="T279" s="132">
        <f t="shared" si="536"/>
        <v>0</v>
      </c>
      <c r="U279" s="132">
        <f t="shared" si="536"/>
        <v>0</v>
      </c>
      <c r="V279" s="132">
        <f t="shared" si="536"/>
        <v>0</v>
      </c>
      <c r="W279" s="132">
        <f t="shared" si="536"/>
        <v>0</v>
      </c>
      <c r="X279" s="132">
        <f t="shared" si="537"/>
        <v>0</v>
      </c>
      <c r="Y279" s="104"/>
      <c r="AC279" s="521"/>
    </row>
    <row r="280" spans="1:215" ht="12.75" customHeight="1" outlineLevel="2" x14ac:dyDescent="0.2">
      <c r="A280" s="495">
        <v>8</v>
      </c>
      <c r="B280" s="127">
        <v>6</v>
      </c>
      <c r="C280" s="185" t="s">
        <v>316</v>
      </c>
      <c r="D280" s="134" t="s">
        <v>322</v>
      </c>
      <c r="E280" s="359" t="s">
        <v>323</v>
      </c>
      <c r="F280" s="164" t="s">
        <v>109</v>
      </c>
      <c r="G280" s="160" t="s">
        <v>291</v>
      </c>
      <c r="H280" s="133" t="s">
        <v>8</v>
      </c>
      <c r="I280" s="134" t="s">
        <v>68</v>
      </c>
      <c r="J280" s="134"/>
      <c r="K280" s="134"/>
      <c r="L280" s="134"/>
      <c r="M280" s="177"/>
      <c r="N280" s="302">
        <f t="shared" si="533"/>
        <v>0</v>
      </c>
      <c r="O280" s="146">
        <v>2380</v>
      </c>
      <c r="P280" s="146">
        <v>2380</v>
      </c>
      <c r="Q280" s="622">
        <v>2380</v>
      </c>
      <c r="R280" s="146">
        <v>2311</v>
      </c>
      <c r="S280" s="132">
        <f t="shared" si="535"/>
        <v>0</v>
      </c>
      <c r="T280" s="132">
        <f t="shared" si="536"/>
        <v>0</v>
      </c>
      <c r="U280" s="132">
        <f t="shared" si="536"/>
        <v>0</v>
      </c>
      <c r="V280" s="132">
        <f t="shared" si="536"/>
        <v>0</v>
      </c>
      <c r="W280" s="132">
        <f t="shared" si="536"/>
        <v>0</v>
      </c>
      <c r="X280" s="132">
        <f t="shared" si="537"/>
        <v>0</v>
      </c>
      <c r="Y280" s="104"/>
      <c r="AC280" s="521"/>
    </row>
    <row r="281" spans="1:215" ht="12.75" customHeight="1" outlineLevel="2" x14ac:dyDescent="0.2">
      <c r="A281" s="495">
        <v>8</v>
      </c>
      <c r="B281" s="150">
        <v>7</v>
      </c>
      <c r="C281" s="156"/>
      <c r="D281" s="129" t="s">
        <v>393</v>
      </c>
      <c r="E281" s="184" t="s">
        <v>394</v>
      </c>
      <c r="F281" s="130" t="s">
        <v>607</v>
      </c>
      <c r="G281" s="137" t="s">
        <v>103</v>
      </c>
      <c r="H281" s="135" t="s">
        <v>8</v>
      </c>
      <c r="I281" s="129" t="s">
        <v>68</v>
      </c>
      <c r="J281" s="129">
        <v>8</v>
      </c>
      <c r="K281" s="129"/>
      <c r="L281" s="129"/>
      <c r="M281" s="141"/>
      <c r="N281" s="302">
        <f t="shared" si="533"/>
        <v>8</v>
      </c>
      <c r="O281" s="146">
        <v>4328</v>
      </c>
      <c r="P281" s="146">
        <v>4328</v>
      </c>
      <c r="Q281" s="622">
        <v>4328</v>
      </c>
      <c r="R281" s="146">
        <v>4202</v>
      </c>
      <c r="S281" s="132">
        <f t="shared" si="535"/>
        <v>34624</v>
      </c>
      <c r="T281" s="132">
        <f t="shared" si="536"/>
        <v>34624</v>
      </c>
      <c r="U281" s="132">
        <f t="shared" si="536"/>
        <v>0</v>
      </c>
      <c r="V281" s="132">
        <f t="shared" si="536"/>
        <v>0</v>
      </c>
      <c r="W281" s="132">
        <f t="shared" si="536"/>
        <v>0</v>
      </c>
      <c r="X281" s="132">
        <f t="shared" si="537"/>
        <v>34624</v>
      </c>
      <c r="AC281" s="521"/>
    </row>
    <row r="282" spans="1:215" ht="12.75" customHeight="1" outlineLevel="2" x14ac:dyDescent="0.2">
      <c r="A282" s="495">
        <v>8</v>
      </c>
      <c r="B282" s="150">
        <v>8</v>
      </c>
      <c r="C282" s="156">
        <v>5</v>
      </c>
      <c r="D282" s="129" t="s">
        <v>841</v>
      </c>
      <c r="E282" s="184"/>
      <c r="F282" s="135" t="s">
        <v>151</v>
      </c>
      <c r="G282" s="137" t="s">
        <v>83</v>
      </c>
      <c r="H282" s="135" t="s">
        <v>8</v>
      </c>
      <c r="I282" s="129" t="s">
        <v>168</v>
      </c>
      <c r="J282" s="129"/>
      <c r="K282" s="129"/>
      <c r="L282" s="134"/>
      <c r="M282" s="141"/>
      <c r="N282" s="302">
        <f t="shared" si="533"/>
        <v>0</v>
      </c>
      <c r="O282" s="146">
        <v>4004</v>
      </c>
      <c r="P282" s="146">
        <v>4004</v>
      </c>
      <c r="Q282" s="622">
        <v>4004</v>
      </c>
      <c r="R282" s="146">
        <v>3887</v>
      </c>
      <c r="S282" s="132">
        <f t="shared" ref="S282" si="552">SUMPRODUCT(J282:M282,O282:R282)</f>
        <v>0</v>
      </c>
      <c r="T282" s="132">
        <f t="shared" ref="T282" si="553">IF(O282&gt;prisgrense,J282*prisgrense,J282*O282)</f>
        <v>0</v>
      </c>
      <c r="U282" s="132">
        <f t="shared" ref="U282" si="554">IF(P282&gt;prisgrense,K282*prisgrense,K282*P282)</f>
        <v>0</v>
      </c>
      <c r="V282" s="132">
        <f t="shared" ref="V282" si="555">IF(Q282&gt;prisgrense,L282*prisgrense,L282*Q282)</f>
        <v>0</v>
      </c>
      <c r="W282" s="132">
        <f t="shared" ref="W282" si="556">IF(R282&gt;prisgrense,M282*prisgrense,M282*R282)</f>
        <v>0</v>
      </c>
      <c r="X282" s="132">
        <f t="shared" ref="X282" si="557">SUM(T282:W282)</f>
        <v>0</v>
      </c>
      <c r="Y282" s="104" t="s">
        <v>835</v>
      </c>
      <c r="AC282" s="521"/>
    </row>
    <row r="283" spans="1:215" ht="12.75" customHeight="1" outlineLevel="2" x14ac:dyDescent="0.2">
      <c r="A283" s="495">
        <v>8</v>
      </c>
      <c r="B283" s="150">
        <v>9</v>
      </c>
      <c r="C283" s="156" t="s">
        <v>416</v>
      </c>
      <c r="D283" s="129" t="s">
        <v>267</v>
      </c>
      <c r="E283" s="184">
        <v>19368400</v>
      </c>
      <c r="F283" s="130" t="s">
        <v>817</v>
      </c>
      <c r="G283" s="137" t="s">
        <v>58</v>
      </c>
      <c r="H283" s="135" t="s">
        <v>8</v>
      </c>
      <c r="I283" s="129" t="s">
        <v>128</v>
      </c>
      <c r="J283" s="129"/>
      <c r="K283" s="129"/>
      <c r="L283" s="134"/>
      <c r="M283" s="141"/>
      <c r="N283" s="302">
        <f t="shared" si="533"/>
        <v>0</v>
      </c>
      <c r="O283" s="149">
        <v>3246</v>
      </c>
      <c r="P283" s="149">
        <v>3246</v>
      </c>
      <c r="Q283" s="619">
        <v>3246</v>
      </c>
      <c r="R283" s="149">
        <v>3151</v>
      </c>
      <c r="S283" s="132">
        <f t="shared" si="535"/>
        <v>0</v>
      </c>
      <c r="T283" s="132">
        <f t="shared" si="536"/>
        <v>0</v>
      </c>
      <c r="U283" s="132">
        <f t="shared" si="536"/>
        <v>0</v>
      </c>
      <c r="V283" s="132">
        <f t="shared" si="536"/>
        <v>0</v>
      </c>
      <c r="W283" s="132">
        <f t="shared" si="536"/>
        <v>0</v>
      </c>
      <c r="X283" s="132">
        <f t="shared" si="537"/>
        <v>0</v>
      </c>
      <c r="Y283" s="104"/>
      <c r="AC283" s="521"/>
    </row>
    <row r="284" spans="1:215" ht="12.75" customHeight="1" outlineLevel="2" x14ac:dyDescent="0.2">
      <c r="A284" s="495">
        <v>8</v>
      </c>
      <c r="B284" s="150">
        <v>10</v>
      </c>
      <c r="C284" s="156">
        <v>7</v>
      </c>
      <c r="D284" s="129" t="s">
        <v>842</v>
      </c>
      <c r="E284" s="184"/>
      <c r="F284" s="135" t="s">
        <v>151</v>
      </c>
      <c r="G284" s="137" t="s">
        <v>697</v>
      </c>
      <c r="H284" s="135" t="s">
        <v>8</v>
      </c>
      <c r="I284" s="129" t="s">
        <v>68</v>
      </c>
      <c r="J284" s="129"/>
      <c r="K284" s="129"/>
      <c r="L284" s="134"/>
      <c r="M284" s="141"/>
      <c r="N284" s="302">
        <f t="shared" ref="N284" si="558">SUM(J284:M284)</f>
        <v>0</v>
      </c>
      <c r="O284" s="146">
        <v>4770</v>
      </c>
      <c r="P284" s="146">
        <v>4770</v>
      </c>
      <c r="Q284" s="622">
        <v>4770</v>
      </c>
      <c r="R284" s="146">
        <v>4770</v>
      </c>
      <c r="S284" s="132">
        <f t="shared" ref="S284" si="559">SUMPRODUCT(J284:M284,O284:R284)</f>
        <v>0</v>
      </c>
      <c r="T284" s="132">
        <f t="shared" ref="T284" si="560">IF(O284&gt;prisgrense,J284*prisgrense,J284*O284)</f>
        <v>0</v>
      </c>
      <c r="U284" s="132">
        <f t="shared" ref="U284" si="561">IF(P284&gt;prisgrense,K284*prisgrense,K284*P284)</f>
        <v>0</v>
      </c>
      <c r="V284" s="132">
        <f t="shared" ref="V284" si="562">IF(Q284&gt;prisgrense,L284*prisgrense,L284*Q284)</f>
        <v>0</v>
      </c>
      <c r="W284" s="132">
        <f t="shared" ref="W284" si="563">IF(R284&gt;prisgrense,M284*prisgrense,M284*R284)</f>
        <v>0</v>
      </c>
      <c r="X284" s="132">
        <f t="shared" ref="X284" si="564">SUM(T284:W284)</f>
        <v>0</v>
      </c>
      <c r="Y284" s="104" t="s">
        <v>835</v>
      </c>
      <c r="AC284" s="521"/>
    </row>
    <row r="285" spans="1:215" ht="12.75" customHeight="1" outlineLevel="2" x14ac:dyDescent="0.2">
      <c r="A285" s="495">
        <v>8</v>
      </c>
      <c r="B285" s="150">
        <v>11</v>
      </c>
      <c r="C285" s="156">
        <v>5</v>
      </c>
      <c r="D285" s="129" t="s">
        <v>657</v>
      </c>
      <c r="E285" s="184" t="s">
        <v>658</v>
      </c>
      <c r="F285" s="135" t="s">
        <v>151</v>
      </c>
      <c r="G285" s="137" t="s">
        <v>83</v>
      </c>
      <c r="H285" s="135" t="s">
        <v>21</v>
      </c>
      <c r="I285" s="129" t="s">
        <v>504</v>
      </c>
      <c r="J285" s="129"/>
      <c r="K285" s="129"/>
      <c r="L285" s="134"/>
      <c r="M285" s="141"/>
      <c r="N285" s="302">
        <f t="shared" si="533"/>
        <v>0</v>
      </c>
      <c r="O285" s="146">
        <v>4004</v>
      </c>
      <c r="P285" s="146">
        <v>4004</v>
      </c>
      <c r="Q285" s="622">
        <v>4004</v>
      </c>
      <c r="R285" s="146">
        <v>3887</v>
      </c>
      <c r="S285" s="132">
        <f t="shared" ref="S285:S288" si="565">SUMPRODUCT(J285:M285,O285:R285)</f>
        <v>0</v>
      </c>
      <c r="T285" s="132">
        <f t="shared" ref="T285:T288" si="566">IF(O285&gt;prisgrense,J285*prisgrense,J285*O285)</f>
        <v>0</v>
      </c>
      <c r="U285" s="132">
        <f t="shared" ref="U285:U288" si="567">IF(P285&gt;prisgrense,K285*prisgrense,K285*P285)</f>
        <v>0</v>
      </c>
      <c r="V285" s="132">
        <f t="shared" ref="V285:V288" si="568">IF(Q285&gt;prisgrense,L285*prisgrense,L285*Q285)</f>
        <v>0</v>
      </c>
      <c r="W285" s="132">
        <f t="shared" ref="W285:W288" si="569">IF(R285&gt;prisgrense,M285*prisgrense,M285*R285)</f>
        <v>0</v>
      </c>
      <c r="X285" s="132">
        <f t="shared" ref="X285:X288" si="570">SUM(T285:W285)</f>
        <v>0</v>
      </c>
      <c r="Y285" s="104" t="s">
        <v>659</v>
      </c>
      <c r="AC285" s="521"/>
    </row>
    <row r="286" spans="1:215" ht="12.75" customHeight="1" outlineLevel="2" x14ac:dyDescent="0.2">
      <c r="A286" s="495">
        <v>8</v>
      </c>
      <c r="B286" s="150">
        <v>12</v>
      </c>
      <c r="C286" s="156">
        <v>7</v>
      </c>
      <c r="D286" s="129" t="s">
        <v>843</v>
      </c>
      <c r="E286" s="184"/>
      <c r="F286" s="135" t="s">
        <v>151</v>
      </c>
      <c r="G286" s="137" t="s">
        <v>781</v>
      </c>
      <c r="H286" s="135" t="s">
        <v>8</v>
      </c>
      <c r="I286" s="129" t="s">
        <v>68</v>
      </c>
      <c r="J286" s="129">
        <v>1198</v>
      </c>
      <c r="K286" s="129"/>
      <c r="L286" s="134"/>
      <c r="M286" s="141"/>
      <c r="N286" s="302">
        <f t="shared" ref="N286" si="571">SUM(J286:M286)</f>
        <v>1198</v>
      </c>
      <c r="O286" s="146">
        <v>4770</v>
      </c>
      <c r="P286" s="146">
        <v>4770</v>
      </c>
      <c r="Q286" s="622">
        <v>4770</v>
      </c>
      <c r="R286" s="146">
        <v>4770</v>
      </c>
      <c r="S286" s="132">
        <f t="shared" ref="S286" si="572">SUMPRODUCT(J286:M286,O286:R286)</f>
        <v>5714460</v>
      </c>
      <c r="T286" s="132">
        <f t="shared" ref="T286" si="573">IF(O286&gt;prisgrense,J286*prisgrense,J286*O286)</f>
        <v>5714460</v>
      </c>
      <c r="U286" s="132">
        <f t="shared" ref="U286" si="574">IF(P286&gt;prisgrense,K286*prisgrense,K286*P286)</f>
        <v>0</v>
      </c>
      <c r="V286" s="132">
        <f t="shared" ref="V286" si="575">IF(Q286&gt;prisgrense,L286*prisgrense,L286*Q286)</f>
        <v>0</v>
      </c>
      <c r="W286" s="132">
        <f t="shared" ref="W286" si="576">IF(R286&gt;prisgrense,M286*prisgrense,M286*R286)</f>
        <v>0</v>
      </c>
      <c r="X286" s="132">
        <f t="shared" ref="X286" si="577">SUM(T286:W286)</f>
        <v>5714460</v>
      </c>
      <c r="Y286" s="104" t="s">
        <v>835</v>
      </c>
      <c r="AC286" s="521"/>
    </row>
    <row r="287" spans="1:215" ht="12.75" customHeight="1" outlineLevel="2" x14ac:dyDescent="0.2">
      <c r="A287" s="495">
        <v>8</v>
      </c>
      <c r="B287" s="150">
        <v>13</v>
      </c>
      <c r="C287" s="156">
        <v>7</v>
      </c>
      <c r="D287" s="129" t="s">
        <v>844</v>
      </c>
      <c r="E287" s="184"/>
      <c r="F287" s="135" t="s">
        <v>151</v>
      </c>
      <c r="G287" s="137" t="s">
        <v>83</v>
      </c>
      <c r="H287" s="135" t="s">
        <v>8</v>
      </c>
      <c r="I287" s="129" t="s">
        <v>168</v>
      </c>
      <c r="J287" s="129"/>
      <c r="K287" s="129"/>
      <c r="L287" s="134"/>
      <c r="M287" s="141"/>
      <c r="N287" s="302">
        <f t="shared" ref="N287" si="578">SUM(J287:M287)</f>
        <v>0</v>
      </c>
      <c r="O287" s="146">
        <v>4770</v>
      </c>
      <c r="P287" s="146">
        <v>4770</v>
      </c>
      <c r="Q287" s="622">
        <v>4770</v>
      </c>
      <c r="R287" s="146">
        <v>4770</v>
      </c>
      <c r="S287" s="132">
        <f t="shared" ref="S287" si="579">SUMPRODUCT(J287:M287,O287:R287)</f>
        <v>0</v>
      </c>
      <c r="T287" s="132">
        <f t="shared" ref="T287" si="580">IF(O287&gt;prisgrense,J287*prisgrense,J287*O287)</f>
        <v>0</v>
      </c>
      <c r="U287" s="132">
        <f t="shared" ref="U287" si="581">IF(P287&gt;prisgrense,K287*prisgrense,K287*P287)</f>
        <v>0</v>
      </c>
      <c r="V287" s="132">
        <f t="shared" ref="V287" si="582">IF(Q287&gt;prisgrense,L287*prisgrense,L287*Q287)</f>
        <v>0</v>
      </c>
      <c r="W287" s="132">
        <f t="shared" ref="W287" si="583">IF(R287&gt;prisgrense,M287*prisgrense,M287*R287)</f>
        <v>0</v>
      </c>
      <c r="X287" s="132">
        <f t="shared" ref="X287" si="584">SUM(T287:W287)</f>
        <v>0</v>
      </c>
      <c r="Y287" s="152" t="s">
        <v>835</v>
      </c>
      <c r="AC287" s="521"/>
    </row>
    <row r="288" spans="1:215" ht="12.75" customHeight="1" outlineLevel="2" x14ac:dyDescent="0.2">
      <c r="A288" s="495">
        <v>8</v>
      </c>
      <c r="B288" s="150">
        <v>14</v>
      </c>
      <c r="C288" s="156">
        <v>5</v>
      </c>
      <c r="D288" s="129" t="s">
        <v>660</v>
      </c>
      <c r="E288" s="184" t="s">
        <v>661</v>
      </c>
      <c r="F288" s="135" t="s">
        <v>151</v>
      </c>
      <c r="G288" s="137" t="s">
        <v>697</v>
      </c>
      <c r="H288" s="135" t="s">
        <v>9</v>
      </c>
      <c r="I288" s="129" t="s">
        <v>504</v>
      </c>
      <c r="J288" s="129"/>
      <c r="K288" s="129"/>
      <c r="L288" s="134"/>
      <c r="M288" s="141"/>
      <c r="N288" s="302">
        <f t="shared" si="533"/>
        <v>0</v>
      </c>
      <c r="O288" s="146">
        <v>4004</v>
      </c>
      <c r="P288" s="146">
        <v>4004</v>
      </c>
      <c r="Q288" s="622">
        <v>4004</v>
      </c>
      <c r="R288" s="146">
        <v>3887</v>
      </c>
      <c r="S288" s="132">
        <f t="shared" si="565"/>
        <v>0</v>
      </c>
      <c r="T288" s="132">
        <f t="shared" si="566"/>
        <v>0</v>
      </c>
      <c r="U288" s="132">
        <f t="shared" si="567"/>
        <v>0</v>
      </c>
      <c r="V288" s="132">
        <f t="shared" si="568"/>
        <v>0</v>
      </c>
      <c r="W288" s="132">
        <f t="shared" si="569"/>
        <v>0</v>
      </c>
      <c r="X288" s="132">
        <f t="shared" si="570"/>
        <v>0</v>
      </c>
      <c r="Y288" s="104" t="s">
        <v>659</v>
      </c>
      <c r="AC288" s="521"/>
    </row>
    <row r="289" spans="1:215" s="152" customFormat="1" ht="12.75" customHeight="1" outlineLevel="2" x14ac:dyDescent="0.2">
      <c r="A289" s="495">
        <v>8</v>
      </c>
      <c r="B289" s="150">
        <v>15</v>
      </c>
      <c r="C289" s="156">
        <v>7</v>
      </c>
      <c r="D289" s="129" t="s">
        <v>957</v>
      </c>
      <c r="E289" s="184"/>
      <c r="F289" s="135" t="s">
        <v>151</v>
      </c>
      <c r="G289" s="137" t="s">
        <v>697</v>
      </c>
      <c r="H289" s="135" t="s">
        <v>21</v>
      </c>
      <c r="I289" s="129" t="s">
        <v>504</v>
      </c>
      <c r="J289" s="129">
        <v>248</v>
      </c>
      <c r="K289" s="129"/>
      <c r="L289" s="129"/>
      <c r="M289" s="141"/>
      <c r="N289" s="302">
        <f t="shared" ref="N289" si="585">SUM(J289:M289)</f>
        <v>248</v>
      </c>
      <c r="O289" s="146">
        <v>4770</v>
      </c>
      <c r="P289" s="146">
        <v>4770</v>
      </c>
      <c r="Q289" s="622">
        <v>4770</v>
      </c>
      <c r="R289" s="146">
        <v>4770</v>
      </c>
      <c r="S289" s="132">
        <f t="shared" ref="S289" si="586">SUMPRODUCT(J289:M289,O289:R289)</f>
        <v>1182960</v>
      </c>
      <c r="T289" s="132">
        <f t="shared" ref="T289" si="587">IF(O289&gt;prisgrense,J289*prisgrense,J289*O289)</f>
        <v>1182960</v>
      </c>
      <c r="U289" s="132">
        <f t="shared" ref="U289" si="588">IF(P289&gt;prisgrense,K289*prisgrense,K289*P289)</f>
        <v>0</v>
      </c>
      <c r="V289" s="132">
        <f t="shared" ref="V289" si="589">IF(Q289&gt;prisgrense,L289*prisgrense,L289*Q289)</f>
        <v>0</v>
      </c>
      <c r="W289" s="132">
        <f t="shared" ref="W289" si="590">IF(R289&gt;prisgrense,M289*prisgrense,M289*R289)</f>
        <v>0</v>
      </c>
      <c r="X289" s="132">
        <f t="shared" ref="X289" si="591">SUM(T289:W289)</f>
        <v>1182960</v>
      </c>
      <c r="Y289" s="152" t="s">
        <v>959</v>
      </c>
      <c r="Z289" s="395"/>
      <c r="AC289" s="559"/>
    </row>
    <row r="290" spans="1:215" s="152" customFormat="1" ht="12.75" customHeight="1" outlineLevel="2" x14ac:dyDescent="0.2">
      <c r="A290" s="495">
        <v>8</v>
      </c>
      <c r="B290" s="150">
        <v>16</v>
      </c>
      <c r="C290" s="156" t="s">
        <v>142</v>
      </c>
      <c r="D290" s="129" t="s">
        <v>420</v>
      </c>
      <c r="E290" s="184" t="s">
        <v>421</v>
      </c>
      <c r="F290" s="135" t="s">
        <v>792</v>
      </c>
      <c r="G290" s="131" t="s">
        <v>104</v>
      </c>
      <c r="H290" s="135" t="s">
        <v>8</v>
      </c>
      <c r="I290" s="129" t="s">
        <v>168</v>
      </c>
      <c r="J290" s="129"/>
      <c r="K290" s="129"/>
      <c r="L290" s="129"/>
      <c r="M290" s="141"/>
      <c r="N290" s="302">
        <f t="shared" si="533"/>
        <v>0</v>
      </c>
      <c r="O290" s="392">
        <v>3978</v>
      </c>
      <c r="P290" s="392">
        <v>3978</v>
      </c>
      <c r="Q290" s="616">
        <v>3978</v>
      </c>
      <c r="R290" s="392">
        <v>3862</v>
      </c>
      <c r="S290" s="132">
        <f t="shared" si="535"/>
        <v>0</v>
      </c>
      <c r="T290" s="132">
        <f t="shared" si="536"/>
        <v>0</v>
      </c>
      <c r="U290" s="132">
        <f t="shared" si="536"/>
        <v>0</v>
      </c>
      <c r="V290" s="132">
        <f t="shared" si="536"/>
        <v>0</v>
      </c>
      <c r="W290" s="132">
        <f t="shared" si="536"/>
        <v>0</v>
      </c>
      <c r="X290" s="132">
        <f t="shared" si="537"/>
        <v>0</v>
      </c>
      <c r="Z290" s="395"/>
      <c r="AC290" s="559"/>
    </row>
    <row r="291" spans="1:215" s="152" customFormat="1" ht="12.75" customHeight="1" outlineLevel="2" x14ac:dyDescent="0.2">
      <c r="A291" s="495">
        <v>8</v>
      </c>
      <c r="B291" s="150">
        <v>17</v>
      </c>
      <c r="C291" s="128" t="s">
        <v>146</v>
      </c>
      <c r="D291" s="129" t="s">
        <v>422</v>
      </c>
      <c r="E291" s="184">
        <v>19209000</v>
      </c>
      <c r="F291" s="130" t="s">
        <v>817</v>
      </c>
      <c r="G291" s="131" t="s">
        <v>58</v>
      </c>
      <c r="H291" s="143" t="s">
        <v>8</v>
      </c>
      <c r="I291" s="129" t="s">
        <v>128</v>
      </c>
      <c r="J291" s="129">
        <v>2</v>
      </c>
      <c r="K291" s="129"/>
      <c r="L291" s="129"/>
      <c r="M291" s="141"/>
      <c r="N291" s="302">
        <f t="shared" si="533"/>
        <v>2</v>
      </c>
      <c r="O291" s="149">
        <v>3787</v>
      </c>
      <c r="P291" s="149">
        <v>3787</v>
      </c>
      <c r="Q291" s="619">
        <v>3787</v>
      </c>
      <c r="R291" s="149">
        <v>3677</v>
      </c>
      <c r="S291" s="132">
        <f t="shared" si="535"/>
        <v>7574</v>
      </c>
      <c r="T291" s="132">
        <f t="shared" si="536"/>
        <v>7574</v>
      </c>
      <c r="U291" s="132">
        <f t="shared" si="536"/>
        <v>0</v>
      </c>
      <c r="V291" s="132">
        <f t="shared" si="536"/>
        <v>0</v>
      </c>
      <c r="W291" s="132">
        <f t="shared" si="536"/>
        <v>0</v>
      </c>
      <c r="X291" s="132">
        <f t="shared" si="537"/>
        <v>7574</v>
      </c>
      <c r="Z291" s="395"/>
      <c r="AC291" s="559"/>
    </row>
    <row r="292" spans="1:215" s="152" customFormat="1" ht="12.75" customHeight="1" outlineLevel="2" x14ac:dyDescent="0.2">
      <c r="A292" s="495">
        <v>8</v>
      </c>
      <c r="B292" s="150">
        <v>18</v>
      </c>
      <c r="C292" s="156" t="s">
        <v>142</v>
      </c>
      <c r="D292" s="129" t="s">
        <v>423</v>
      </c>
      <c r="E292" s="184" t="s">
        <v>424</v>
      </c>
      <c r="F292" s="135" t="s">
        <v>792</v>
      </c>
      <c r="G292" s="131" t="s">
        <v>104</v>
      </c>
      <c r="H292" s="135" t="s">
        <v>8</v>
      </c>
      <c r="I292" s="129" t="s">
        <v>168</v>
      </c>
      <c r="J292" s="129"/>
      <c r="K292" s="129"/>
      <c r="L292" s="129"/>
      <c r="M292" s="141"/>
      <c r="N292" s="302">
        <f t="shared" si="533"/>
        <v>0</v>
      </c>
      <c r="O292" s="392">
        <v>3978</v>
      </c>
      <c r="P292" s="392">
        <v>3978</v>
      </c>
      <c r="Q292" s="616">
        <v>3978</v>
      </c>
      <c r="R292" s="392">
        <v>3862</v>
      </c>
      <c r="S292" s="132">
        <f t="shared" si="535"/>
        <v>0</v>
      </c>
      <c r="T292" s="132">
        <f t="shared" si="536"/>
        <v>0</v>
      </c>
      <c r="U292" s="132">
        <f t="shared" si="536"/>
        <v>0</v>
      </c>
      <c r="V292" s="132">
        <f t="shared" si="536"/>
        <v>0</v>
      </c>
      <c r="W292" s="132">
        <f t="shared" si="536"/>
        <v>0</v>
      </c>
      <c r="X292" s="132">
        <f t="shared" si="537"/>
        <v>0</v>
      </c>
      <c r="Z292" s="395"/>
      <c r="AC292" s="559"/>
    </row>
    <row r="293" spans="1:215" s="152" customFormat="1" ht="12.75" customHeight="1" outlineLevel="2" x14ac:dyDescent="0.2">
      <c r="A293" s="495">
        <v>8</v>
      </c>
      <c r="B293" s="150">
        <v>19</v>
      </c>
      <c r="C293" s="186" t="s">
        <v>643</v>
      </c>
      <c r="D293" s="129" t="s">
        <v>644</v>
      </c>
      <c r="E293" s="184">
        <v>11170</v>
      </c>
      <c r="F293" s="135" t="s">
        <v>108</v>
      </c>
      <c r="G293" s="137" t="s">
        <v>174</v>
      </c>
      <c r="H293" s="135" t="s">
        <v>8</v>
      </c>
      <c r="I293" s="129" t="s">
        <v>68</v>
      </c>
      <c r="J293" s="129"/>
      <c r="K293" s="129"/>
      <c r="L293" s="129"/>
      <c r="M293" s="141"/>
      <c r="N293" s="302">
        <f t="shared" ref="N293" si="592">SUM(J293:M293)</f>
        <v>0</v>
      </c>
      <c r="O293" s="146">
        <v>1623</v>
      </c>
      <c r="P293" s="146">
        <v>1623</v>
      </c>
      <c r="Q293" s="622">
        <v>1623</v>
      </c>
      <c r="R293" s="146">
        <v>1576</v>
      </c>
      <c r="S293" s="132">
        <f t="shared" ref="S293" si="593">SUMPRODUCT(J293:M293,O293:R293)</f>
        <v>0</v>
      </c>
      <c r="T293" s="132">
        <f t="shared" ref="T293" si="594">IF(O293&gt;prisgrense,J293*prisgrense,J293*O293)</f>
        <v>0</v>
      </c>
      <c r="U293" s="132">
        <f t="shared" ref="U293" si="595">IF(P293&gt;prisgrense,K293*prisgrense,K293*P293)</f>
        <v>0</v>
      </c>
      <c r="V293" s="132">
        <f t="shared" ref="V293" si="596">IF(Q293&gt;prisgrense,L293*prisgrense,L293*Q293)</f>
        <v>0</v>
      </c>
      <c r="W293" s="132">
        <f t="shared" ref="W293" si="597">IF(R293&gt;prisgrense,M293*prisgrense,M293*R293)</f>
        <v>0</v>
      </c>
      <c r="X293" s="132">
        <f t="shared" ref="X293" si="598">SUM(T293:W293)</f>
        <v>0</v>
      </c>
      <c r="Y293" s="152" t="s">
        <v>632</v>
      </c>
      <c r="Z293" s="395"/>
      <c r="AC293" s="559"/>
    </row>
    <row r="294" spans="1:215" s="152" customFormat="1" ht="12.75" customHeight="1" outlineLevel="2" x14ac:dyDescent="0.2">
      <c r="A294" s="495">
        <v>8</v>
      </c>
      <c r="B294" s="150">
        <v>20</v>
      </c>
      <c r="C294" s="128" t="s">
        <v>146</v>
      </c>
      <c r="D294" s="129" t="s">
        <v>425</v>
      </c>
      <c r="E294" s="184">
        <v>19209600</v>
      </c>
      <c r="F294" s="130" t="s">
        <v>817</v>
      </c>
      <c r="G294" s="131" t="s">
        <v>58</v>
      </c>
      <c r="H294" s="143" t="s">
        <v>8</v>
      </c>
      <c r="I294" s="129" t="s">
        <v>168</v>
      </c>
      <c r="J294" s="129">
        <v>1</v>
      </c>
      <c r="K294" s="129"/>
      <c r="L294" s="129"/>
      <c r="M294" s="141"/>
      <c r="N294" s="302">
        <f t="shared" si="533"/>
        <v>1</v>
      </c>
      <c r="O294" s="149">
        <v>3787</v>
      </c>
      <c r="P294" s="149">
        <v>3787</v>
      </c>
      <c r="Q294" s="619">
        <v>3787</v>
      </c>
      <c r="R294" s="149">
        <v>3677</v>
      </c>
      <c r="S294" s="132">
        <f t="shared" si="535"/>
        <v>3787</v>
      </c>
      <c r="T294" s="132">
        <f t="shared" si="536"/>
        <v>3787</v>
      </c>
      <c r="U294" s="132">
        <f t="shared" si="536"/>
        <v>0</v>
      </c>
      <c r="V294" s="132">
        <f t="shared" si="536"/>
        <v>0</v>
      </c>
      <c r="W294" s="132">
        <f t="shared" si="536"/>
        <v>0</v>
      </c>
      <c r="X294" s="132">
        <f t="shared" si="537"/>
        <v>3787</v>
      </c>
      <c r="Z294" s="395"/>
      <c r="AC294" s="559"/>
    </row>
    <row r="295" spans="1:215" s="152" customFormat="1" ht="12.75" customHeight="1" outlineLevel="2" x14ac:dyDescent="0.2">
      <c r="A295" s="500">
        <v>8</v>
      </c>
      <c r="B295" s="187">
        <v>21</v>
      </c>
      <c r="C295" s="188" t="s">
        <v>645</v>
      </c>
      <c r="D295" s="145" t="s">
        <v>646</v>
      </c>
      <c r="E295" s="363">
        <v>11160</v>
      </c>
      <c r="F295" s="189" t="s">
        <v>108</v>
      </c>
      <c r="G295" s="190" t="s">
        <v>174</v>
      </c>
      <c r="H295" s="189" t="s">
        <v>9</v>
      </c>
      <c r="I295" s="145" t="s">
        <v>504</v>
      </c>
      <c r="J295" s="145"/>
      <c r="K295" s="145"/>
      <c r="L295" s="145"/>
      <c r="M295" s="341"/>
      <c r="N295" s="302">
        <f t="shared" ref="N295" si="599">SUM(J295:M295)</f>
        <v>0</v>
      </c>
      <c r="O295" s="146">
        <v>1623</v>
      </c>
      <c r="P295" s="146">
        <v>1623</v>
      </c>
      <c r="Q295" s="622">
        <v>1623</v>
      </c>
      <c r="R295" s="146">
        <v>1576</v>
      </c>
      <c r="S295" s="132">
        <f t="shared" ref="S295" si="600">SUMPRODUCT(J295:M295,O295:R295)</f>
        <v>0</v>
      </c>
      <c r="T295" s="132">
        <f t="shared" ref="T295" si="601">IF(O295&gt;prisgrense,J295*prisgrense,J295*O295)</f>
        <v>0</v>
      </c>
      <c r="U295" s="132">
        <f t="shared" ref="U295" si="602">IF(P295&gt;prisgrense,K295*prisgrense,K295*P295)</f>
        <v>0</v>
      </c>
      <c r="V295" s="132">
        <f t="shared" ref="V295" si="603">IF(Q295&gt;prisgrense,L295*prisgrense,L295*Q295)</f>
        <v>0</v>
      </c>
      <c r="W295" s="132">
        <f t="shared" ref="W295" si="604">IF(R295&gt;prisgrense,M295*prisgrense,M295*R295)</f>
        <v>0</v>
      </c>
      <c r="X295" s="132">
        <f t="shared" ref="X295" si="605">SUM(T295:W295)</f>
        <v>0</v>
      </c>
      <c r="Y295" s="152" t="s">
        <v>632</v>
      </c>
      <c r="Z295" s="395"/>
      <c r="AC295" s="559"/>
    </row>
    <row r="296" spans="1:215" s="561" customFormat="1" ht="12.75" customHeight="1" outlineLevel="2" x14ac:dyDescent="0.2">
      <c r="A296" s="497">
        <v>8</v>
      </c>
      <c r="B296" s="138">
        <v>22</v>
      </c>
      <c r="C296" s="128" t="s">
        <v>146</v>
      </c>
      <c r="D296" s="128" t="s">
        <v>426</v>
      </c>
      <c r="E296" s="361">
        <v>19209200</v>
      </c>
      <c r="F296" s="130" t="s">
        <v>817</v>
      </c>
      <c r="G296" s="191" t="s">
        <v>58</v>
      </c>
      <c r="H296" s="191" t="s">
        <v>8</v>
      </c>
      <c r="I296" s="128" t="s">
        <v>128</v>
      </c>
      <c r="J296" s="128"/>
      <c r="K296" s="128"/>
      <c r="L296" s="128"/>
      <c r="M296" s="336"/>
      <c r="N296" s="302">
        <f t="shared" si="533"/>
        <v>0</v>
      </c>
      <c r="O296" s="149">
        <v>3787</v>
      </c>
      <c r="P296" s="149">
        <v>3787</v>
      </c>
      <c r="Q296" s="619">
        <v>3787</v>
      </c>
      <c r="R296" s="149">
        <v>3677</v>
      </c>
      <c r="S296" s="132">
        <f t="shared" si="535"/>
        <v>0</v>
      </c>
      <c r="T296" s="132">
        <f t="shared" si="536"/>
        <v>0</v>
      </c>
      <c r="U296" s="132">
        <f t="shared" si="536"/>
        <v>0</v>
      </c>
      <c r="V296" s="132">
        <f t="shared" si="536"/>
        <v>0</v>
      </c>
      <c r="W296" s="132">
        <f t="shared" si="536"/>
        <v>0</v>
      </c>
      <c r="X296" s="132">
        <f t="shared" si="537"/>
        <v>0</v>
      </c>
      <c r="Y296" s="152"/>
      <c r="Z296" s="395"/>
      <c r="AA296" s="152"/>
      <c r="AB296" s="152"/>
      <c r="AC296" s="559"/>
      <c r="AD296" s="152"/>
      <c r="AE296" s="152"/>
      <c r="AF296" s="152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152"/>
      <c r="AT296" s="152"/>
      <c r="AU296" s="152"/>
      <c r="AV296" s="152"/>
      <c r="AW296" s="152"/>
      <c r="AX296" s="152"/>
      <c r="AY296" s="152"/>
      <c r="AZ296" s="152"/>
      <c r="BA296" s="152"/>
      <c r="BB296" s="152"/>
      <c r="BC296" s="152"/>
      <c r="BD296" s="152"/>
      <c r="BE296" s="152"/>
      <c r="BF296" s="152"/>
      <c r="BG296" s="152"/>
      <c r="BH296" s="152"/>
      <c r="BI296" s="152"/>
      <c r="BJ296" s="152"/>
      <c r="BK296" s="152"/>
      <c r="BL296" s="152"/>
      <c r="BM296" s="152"/>
      <c r="BN296" s="152"/>
      <c r="BO296" s="152"/>
      <c r="BP296" s="152"/>
      <c r="BQ296" s="152"/>
      <c r="BR296" s="152"/>
      <c r="BS296" s="152"/>
      <c r="BT296" s="152"/>
      <c r="BU296" s="152"/>
      <c r="BV296" s="152"/>
      <c r="BW296" s="152"/>
      <c r="BX296" s="152"/>
      <c r="BY296" s="152"/>
      <c r="BZ296" s="152"/>
      <c r="CA296" s="152"/>
      <c r="CB296" s="152"/>
      <c r="CC296" s="152"/>
      <c r="CD296" s="152"/>
      <c r="CE296" s="152"/>
      <c r="CF296" s="152"/>
      <c r="CG296" s="152"/>
      <c r="CH296" s="152"/>
      <c r="CI296" s="152"/>
      <c r="CJ296" s="152"/>
      <c r="CK296" s="152"/>
      <c r="CL296" s="152"/>
      <c r="CM296" s="152"/>
      <c r="CN296" s="152"/>
      <c r="CO296" s="152"/>
      <c r="CP296" s="152"/>
      <c r="CQ296" s="152"/>
      <c r="CR296" s="152"/>
      <c r="CS296" s="152"/>
      <c r="CT296" s="152"/>
      <c r="CU296" s="152"/>
      <c r="CV296" s="152"/>
      <c r="CW296" s="152"/>
      <c r="CX296" s="152"/>
      <c r="CY296" s="152"/>
      <c r="CZ296" s="152"/>
      <c r="DA296" s="152"/>
      <c r="DB296" s="152"/>
      <c r="DC296" s="152"/>
      <c r="DD296" s="152"/>
      <c r="DE296" s="152"/>
      <c r="DF296" s="152"/>
      <c r="DG296" s="152"/>
      <c r="DH296" s="152"/>
      <c r="DI296" s="152"/>
      <c r="DJ296" s="152"/>
      <c r="DK296" s="152"/>
      <c r="DL296" s="152"/>
      <c r="DM296" s="152"/>
      <c r="DN296" s="152"/>
      <c r="DO296" s="152"/>
      <c r="DP296" s="152"/>
      <c r="DQ296" s="152"/>
      <c r="DR296" s="152"/>
      <c r="DS296" s="152"/>
      <c r="DT296" s="152"/>
      <c r="DU296" s="152"/>
      <c r="DV296" s="152"/>
      <c r="DW296" s="152"/>
      <c r="DX296" s="152"/>
      <c r="DY296" s="152"/>
      <c r="DZ296" s="152"/>
      <c r="EA296" s="152"/>
      <c r="EB296" s="152"/>
      <c r="EC296" s="152"/>
      <c r="ED296" s="152"/>
      <c r="EE296" s="152"/>
      <c r="EF296" s="152"/>
      <c r="EG296" s="152"/>
      <c r="EH296" s="152"/>
      <c r="EI296" s="152"/>
      <c r="EJ296" s="152"/>
      <c r="EK296" s="152"/>
      <c r="EL296" s="152"/>
      <c r="EM296" s="152"/>
      <c r="EN296" s="152"/>
      <c r="EO296" s="152"/>
      <c r="EP296" s="152"/>
      <c r="EQ296" s="152"/>
      <c r="ER296" s="152"/>
      <c r="ES296" s="152"/>
      <c r="ET296" s="152"/>
      <c r="EU296" s="152"/>
      <c r="EV296" s="152"/>
      <c r="EW296" s="152"/>
      <c r="EX296" s="152"/>
      <c r="EY296" s="152"/>
      <c r="EZ296" s="152"/>
      <c r="FA296" s="152"/>
      <c r="FB296" s="152"/>
      <c r="FC296" s="152"/>
      <c r="FD296" s="152"/>
      <c r="FE296" s="152"/>
      <c r="FF296" s="152"/>
      <c r="FG296" s="152"/>
      <c r="FH296" s="152"/>
      <c r="FI296" s="152"/>
      <c r="FJ296" s="152"/>
      <c r="FK296" s="152"/>
      <c r="FL296" s="152"/>
      <c r="FM296" s="152"/>
      <c r="FN296" s="152"/>
      <c r="FO296" s="152"/>
      <c r="FP296" s="152"/>
      <c r="FQ296" s="152"/>
      <c r="FR296" s="152"/>
      <c r="FS296" s="152"/>
      <c r="FT296" s="152"/>
      <c r="FU296" s="152"/>
      <c r="FV296" s="152"/>
      <c r="FW296" s="152"/>
      <c r="FX296" s="152"/>
      <c r="FY296" s="152"/>
      <c r="FZ296" s="152"/>
      <c r="GA296" s="152"/>
      <c r="GB296" s="152"/>
      <c r="GC296" s="152"/>
      <c r="GD296" s="152"/>
      <c r="GE296" s="152"/>
      <c r="GF296" s="152"/>
      <c r="GG296" s="152"/>
      <c r="GH296" s="152"/>
      <c r="GI296" s="152"/>
      <c r="GJ296" s="152"/>
      <c r="GK296" s="152"/>
      <c r="GL296" s="152"/>
      <c r="GM296" s="152"/>
      <c r="GN296" s="152"/>
      <c r="GO296" s="152"/>
      <c r="GP296" s="152"/>
      <c r="GQ296" s="152"/>
      <c r="GR296" s="152"/>
      <c r="GS296" s="152"/>
      <c r="GT296" s="152"/>
      <c r="GU296" s="152"/>
      <c r="GV296" s="152"/>
      <c r="GW296" s="152"/>
      <c r="GX296" s="152"/>
      <c r="GY296" s="152"/>
      <c r="GZ296" s="152"/>
      <c r="HA296" s="152"/>
      <c r="HB296" s="152"/>
      <c r="HC296" s="152"/>
      <c r="HD296" s="152"/>
      <c r="HE296" s="152"/>
      <c r="HF296" s="152"/>
      <c r="HG296" s="152"/>
    </row>
    <row r="297" spans="1:215" s="561" customFormat="1" ht="12.75" customHeight="1" outlineLevel="2" x14ac:dyDescent="0.2">
      <c r="A297" s="560">
        <v>8</v>
      </c>
      <c r="B297" s="192">
        <v>23</v>
      </c>
      <c r="C297" s="193"/>
      <c r="D297" s="194" t="s">
        <v>822</v>
      </c>
      <c r="E297" s="364"/>
      <c r="F297" s="130" t="s">
        <v>607</v>
      </c>
      <c r="G297" s="137" t="s">
        <v>83</v>
      </c>
      <c r="H297" s="195" t="s">
        <v>8</v>
      </c>
      <c r="I297" s="195" t="s">
        <v>168</v>
      </c>
      <c r="J297" s="548">
        <v>376</v>
      </c>
      <c r="K297" s="548"/>
      <c r="L297" s="548"/>
      <c r="M297" s="342"/>
      <c r="N297" s="302">
        <f t="shared" si="533"/>
        <v>376</v>
      </c>
      <c r="O297" s="196">
        <v>4800</v>
      </c>
      <c r="P297" s="196">
        <v>4800</v>
      </c>
      <c r="Q297" s="625">
        <v>4800</v>
      </c>
      <c r="R297" s="196">
        <v>4660</v>
      </c>
      <c r="S297" s="132">
        <f t="shared" ref="S297" si="606">SUMPRODUCT(J297:M297,O297:R297)</f>
        <v>1804800</v>
      </c>
      <c r="T297" s="132">
        <f t="shared" ref="T297" si="607">IF(O297&gt;prisgrense,J297*prisgrense,J297*O297)</f>
        <v>1804800</v>
      </c>
      <c r="U297" s="132">
        <f t="shared" ref="U297" si="608">IF(P297&gt;prisgrense,K297*prisgrense,K297*P297)</f>
        <v>0</v>
      </c>
      <c r="V297" s="132">
        <f t="shared" ref="V297" si="609">IF(Q297&gt;prisgrense,L297*prisgrense,L297*Q297)</f>
        <v>0</v>
      </c>
      <c r="W297" s="132">
        <f t="shared" ref="W297" si="610">IF(R297&gt;prisgrense,M297*prisgrense,M297*R297)</f>
        <v>0</v>
      </c>
      <c r="X297" s="132">
        <f t="shared" ref="X297" si="611">SUM(T297:W297)</f>
        <v>1804800</v>
      </c>
      <c r="Y297" s="157" t="s">
        <v>852</v>
      </c>
      <c r="Z297" s="395"/>
      <c r="AA297" s="152"/>
      <c r="AB297" s="152"/>
      <c r="AC297" s="559"/>
      <c r="AD297" s="152"/>
      <c r="AE297" s="152"/>
      <c r="AF297" s="152"/>
      <c r="AG297" s="152"/>
      <c r="AH297" s="152"/>
      <c r="AI297" s="152"/>
      <c r="AJ297" s="152"/>
      <c r="AK297" s="152"/>
      <c r="AL297" s="152"/>
      <c r="AM297" s="152"/>
      <c r="AN297" s="152"/>
      <c r="AO297" s="152"/>
      <c r="AP297" s="152"/>
      <c r="AQ297" s="152"/>
      <c r="AR297" s="152"/>
      <c r="AS297" s="152"/>
      <c r="AT297" s="152"/>
      <c r="AU297" s="152"/>
      <c r="AV297" s="152"/>
      <c r="AW297" s="152"/>
      <c r="AX297" s="152"/>
      <c r="AY297" s="152"/>
      <c r="AZ297" s="152"/>
      <c r="BA297" s="152"/>
      <c r="BB297" s="152"/>
      <c r="BC297" s="152"/>
      <c r="BD297" s="152"/>
      <c r="BE297" s="152"/>
      <c r="BF297" s="152"/>
      <c r="BG297" s="152"/>
      <c r="BH297" s="152"/>
      <c r="BI297" s="152"/>
      <c r="BJ297" s="152"/>
      <c r="BK297" s="152"/>
      <c r="BL297" s="152"/>
      <c r="BM297" s="152"/>
      <c r="BN297" s="152"/>
      <c r="BO297" s="152"/>
      <c r="BP297" s="152"/>
      <c r="BQ297" s="152"/>
      <c r="BR297" s="152"/>
      <c r="BS297" s="152"/>
      <c r="BT297" s="152"/>
      <c r="BU297" s="152"/>
      <c r="BV297" s="152"/>
      <c r="BW297" s="152"/>
      <c r="BX297" s="152"/>
      <c r="BY297" s="152"/>
      <c r="BZ297" s="152"/>
      <c r="CA297" s="152"/>
      <c r="CB297" s="152"/>
      <c r="CC297" s="152"/>
      <c r="CD297" s="152"/>
      <c r="CE297" s="152"/>
      <c r="CF297" s="152"/>
      <c r="CG297" s="152"/>
      <c r="CH297" s="152"/>
      <c r="CI297" s="152"/>
      <c r="CJ297" s="152"/>
      <c r="CK297" s="152"/>
      <c r="CL297" s="152"/>
      <c r="CM297" s="152"/>
      <c r="CN297" s="152"/>
      <c r="CO297" s="152"/>
      <c r="CP297" s="152"/>
      <c r="CQ297" s="152"/>
      <c r="CR297" s="152"/>
      <c r="CS297" s="152"/>
      <c r="CT297" s="152"/>
      <c r="CU297" s="152"/>
      <c r="CV297" s="152"/>
      <c r="CW297" s="152"/>
      <c r="CX297" s="152"/>
      <c r="CY297" s="152"/>
      <c r="CZ297" s="152"/>
      <c r="DA297" s="152"/>
      <c r="DB297" s="152"/>
      <c r="DC297" s="152"/>
      <c r="DD297" s="152"/>
      <c r="DE297" s="152"/>
      <c r="DF297" s="152"/>
      <c r="DG297" s="152"/>
      <c r="DH297" s="152"/>
      <c r="DI297" s="152"/>
      <c r="DJ297" s="152"/>
      <c r="DK297" s="152"/>
      <c r="DL297" s="152"/>
      <c r="DM297" s="152"/>
      <c r="DN297" s="152"/>
      <c r="DO297" s="152"/>
      <c r="DP297" s="152"/>
      <c r="DQ297" s="152"/>
      <c r="DR297" s="152"/>
      <c r="DS297" s="152"/>
      <c r="DT297" s="152"/>
      <c r="DU297" s="152"/>
      <c r="DV297" s="152"/>
      <c r="DW297" s="152"/>
      <c r="DX297" s="152"/>
      <c r="DY297" s="152"/>
      <c r="DZ297" s="152"/>
      <c r="EA297" s="152"/>
      <c r="EB297" s="152"/>
      <c r="EC297" s="152"/>
      <c r="ED297" s="152"/>
      <c r="EE297" s="152"/>
      <c r="EF297" s="152"/>
      <c r="EG297" s="152"/>
      <c r="EH297" s="152"/>
      <c r="EI297" s="152"/>
      <c r="EJ297" s="152"/>
      <c r="EK297" s="152"/>
      <c r="EL297" s="152"/>
      <c r="EM297" s="152"/>
      <c r="EN297" s="152"/>
      <c r="EO297" s="152"/>
      <c r="EP297" s="152"/>
      <c r="EQ297" s="152"/>
      <c r="ER297" s="152"/>
      <c r="ES297" s="152"/>
      <c r="ET297" s="152"/>
      <c r="EU297" s="152"/>
      <c r="EV297" s="152"/>
      <c r="EW297" s="152"/>
      <c r="EX297" s="152"/>
      <c r="EY297" s="152"/>
      <c r="EZ297" s="152"/>
      <c r="FA297" s="152"/>
      <c r="FB297" s="152"/>
      <c r="FC297" s="152"/>
      <c r="FD297" s="152"/>
      <c r="FE297" s="152"/>
      <c r="FF297" s="152"/>
      <c r="FG297" s="152"/>
      <c r="FH297" s="152"/>
      <c r="FI297" s="152"/>
      <c r="FJ297" s="152"/>
      <c r="FK297" s="152"/>
      <c r="FL297" s="152"/>
      <c r="FM297" s="152"/>
      <c r="FN297" s="152"/>
      <c r="FO297" s="152"/>
      <c r="FP297" s="152"/>
      <c r="FQ297" s="152"/>
      <c r="FR297" s="152"/>
      <c r="FS297" s="152"/>
      <c r="FT297" s="152"/>
      <c r="FU297" s="152"/>
      <c r="FV297" s="152"/>
      <c r="FW297" s="152"/>
      <c r="FX297" s="152"/>
      <c r="FY297" s="152"/>
      <c r="FZ297" s="152"/>
      <c r="GA297" s="152"/>
      <c r="GB297" s="152"/>
      <c r="GC297" s="152"/>
      <c r="GD297" s="152"/>
      <c r="GE297" s="152"/>
      <c r="GF297" s="152"/>
      <c r="GG297" s="152"/>
      <c r="GH297" s="152"/>
      <c r="GI297" s="152"/>
      <c r="GJ297" s="152"/>
      <c r="GK297" s="152"/>
      <c r="GL297" s="152"/>
      <c r="GM297" s="152"/>
      <c r="GN297" s="152"/>
      <c r="GO297" s="152"/>
      <c r="GP297" s="152"/>
      <c r="GQ297" s="152"/>
      <c r="GR297" s="152"/>
      <c r="GS297" s="152"/>
      <c r="GT297" s="152"/>
      <c r="GU297" s="152"/>
      <c r="GV297" s="152"/>
      <c r="GW297" s="152"/>
      <c r="GX297" s="152"/>
      <c r="GY297" s="152"/>
      <c r="GZ297" s="152"/>
      <c r="HA297" s="152"/>
      <c r="HB297" s="152"/>
      <c r="HC297" s="152"/>
      <c r="HD297" s="152"/>
      <c r="HE297" s="152"/>
      <c r="HF297" s="152"/>
      <c r="HG297" s="152"/>
    </row>
    <row r="298" spans="1:215" s="152" customFormat="1" ht="12.75" customHeight="1" outlineLevel="2" x14ac:dyDescent="0.2">
      <c r="A298" s="496">
        <v>8</v>
      </c>
      <c r="B298" s="197">
        <v>24</v>
      </c>
      <c r="C298" s="198">
        <v>7</v>
      </c>
      <c r="D298" s="162" t="s">
        <v>664</v>
      </c>
      <c r="E298" s="365" t="s">
        <v>665</v>
      </c>
      <c r="F298" s="199" t="s">
        <v>151</v>
      </c>
      <c r="G298" s="200" t="s">
        <v>83</v>
      </c>
      <c r="H298" s="199" t="s">
        <v>9</v>
      </c>
      <c r="I298" s="129" t="s">
        <v>504</v>
      </c>
      <c r="J298" s="129"/>
      <c r="K298" s="129"/>
      <c r="L298" s="129"/>
      <c r="M298" s="141"/>
      <c r="N298" s="302">
        <f t="shared" si="533"/>
        <v>0</v>
      </c>
      <c r="O298" s="146">
        <v>4770</v>
      </c>
      <c r="P298" s="146">
        <v>4770</v>
      </c>
      <c r="Q298" s="622">
        <v>4770</v>
      </c>
      <c r="R298" s="146">
        <v>4770</v>
      </c>
      <c r="S298" s="132">
        <f t="shared" ref="S298" si="612">SUMPRODUCT(J298:M298,O298:R298)</f>
        <v>0</v>
      </c>
      <c r="T298" s="132">
        <f t="shared" ref="T298" si="613">IF(O298&gt;prisgrense,J298*prisgrense,J298*O298)</f>
        <v>0</v>
      </c>
      <c r="U298" s="132">
        <f t="shared" ref="U298" si="614">IF(P298&gt;prisgrense,K298*prisgrense,K298*P298)</f>
        <v>0</v>
      </c>
      <c r="V298" s="132">
        <f t="shared" ref="V298" si="615">IF(Q298&gt;prisgrense,L298*prisgrense,L298*Q298)</f>
        <v>0</v>
      </c>
      <c r="W298" s="132">
        <f t="shared" ref="W298" si="616">IF(R298&gt;prisgrense,M298*prisgrense,M298*R298)</f>
        <v>0</v>
      </c>
      <c r="X298" s="132">
        <f t="shared" ref="X298" si="617">SUM(T298:W298)</f>
        <v>0</v>
      </c>
      <c r="Y298" s="152" t="s">
        <v>659</v>
      </c>
      <c r="Z298" s="395"/>
      <c r="AC298" s="559"/>
    </row>
    <row r="299" spans="1:215" s="152" customFormat="1" ht="12.75" customHeight="1" outlineLevel="2" x14ac:dyDescent="0.2">
      <c r="A299" s="495">
        <v>8</v>
      </c>
      <c r="B299" s="150">
        <v>25</v>
      </c>
      <c r="C299" s="574" t="s">
        <v>867</v>
      </c>
      <c r="D299" s="413" t="s">
        <v>892</v>
      </c>
      <c r="E299" s="588" t="s">
        <v>891</v>
      </c>
      <c r="F299" s="135" t="s">
        <v>109</v>
      </c>
      <c r="G299" s="135" t="s">
        <v>291</v>
      </c>
      <c r="H299" s="135" t="s">
        <v>8</v>
      </c>
      <c r="I299" s="129" t="s">
        <v>68</v>
      </c>
      <c r="J299" s="129">
        <v>2</v>
      </c>
      <c r="K299" s="129"/>
      <c r="L299" s="129"/>
      <c r="M299" s="141"/>
      <c r="N299" s="302">
        <f t="shared" ref="N299" si="618">SUM(J299:M299)</f>
        <v>2</v>
      </c>
      <c r="O299" s="146">
        <v>3361</v>
      </c>
      <c r="P299" s="146">
        <v>3361</v>
      </c>
      <c r="Q299" s="146">
        <v>3361</v>
      </c>
      <c r="R299" s="146">
        <v>3361</v>
      </c>
      <c r="S299" s="132">
        <f t="shared" ref="S299" si="619">SUMPRODUCT(J299:M299,O299:R299)</f>
        <v>6722</v>
      </c>
      <c r="T299" s="132">
        <f t="shared" ref="T299" si="620">IF(O299&gt;prisgrense,J299*prisgrense,J299*O299)</f>
        <v>6722</v>
      </c>
      <c r="U299" s="132">
        <f t="shared" ref="U299" si="621">IF(P299&gt;prisgrense,K299*prisgrense,K299*P299)</f>
        <v>0</v>
      </c>
      <c r="V299" s="132">
        <f t="shared" ref="V299" si="622">IF(Q299&gt;prisgrense,L299*prisgrense,L299*Q299)</f>
        <v>0</v>
      </c>
      <c r="W299" s="132">
        <f t="shared" ref="W299" si="623">IF(R299&gt;prisgrense,M299*prisgrense,M299*R299)</f>
        <v>0</v>
      </c>
      <c r="X299" s="132">
        <f t="shared" ref="X299" si="624">SUM(T299:W299)</f>
        <v>6722</v>
      </c>
      <c r="Y299" s="152" t="s">
        <v>1026</v>
      </c>
      <c r="Z299" s="395">
        <v>8</v>
      </c>
      <c r="AC299" s="559"/>
    </row>
    <row r="300" spans="1:215" s="152" customFormat="1" ht="12.75" customHeight="1" outlineLevel="2" x14ac:dyDescent="0.2">
      <c r="A300" s="495">
        <v>8</v>
      </c>
      <c r="B300" s="150">
        <v>25</v>
      </c>
      <c r="C300" s="574" t="s">
        <v>1019</v>
      </c>
      <c r="D300" s="407" t="s">
        <v>1027</v>
      </c>
      <c r="E300" s="588"/>
      <c r="F300" s="135" t="s">
        <v>109</v>
      </c>
      <c r="G300" s="135"/>
      <c r="H300" s="135" t="s">
        <v>8</v>
      </c>
      <c r="I300" s="129" t="s">
        <v>68</v>
      </c>
      <c r="J300" s="129">
        <v>18</v>
      </c>
      <c r="K300" s="129"/>
      <c r="L300" s="129"/>
      <c r="M300" s="141"/>
      <c r="N300" s="302">
        <f t="shared" ref="N300" si="625">SUM(J300:M300)</f>
        <v>18</v>
      </c>
      <c r="O300" s="146">
        <v>3462</v>
      </c>
      <c r="P300" s="146">
        <v>3462</v>
      </c>
      <c r="Q300" s="622">
        <v>3462</v>
      </c>
      <c r="R300" s="146">
        <v>3361</v>
      </c>
      <c r="S300" s="132">
        <f t="shared" ref="S300" si="626">SUMPRODUCT(J300:M300,O300:R300)</f>
        <v>62316</v>
      </c>
      <c r="T300" s="132">
        <f t="shared" ref="T300" si="627">IF(O300&gt;prisgrense,J300*prisgrense,J300*O300)</f>
        <v>62316</v>
      </c>
      <c r="U300" s="132">
        <f t="shared" ref="U300" si="628">IF(P300&gt;prisgrense,K300*prisgrense,K300*P300)</f>
        <v>0</v>
      </c>
      <c r="V300" s="132">
        <f t="shared" ref="V300" si="629">IF(Q300&gt;prisgrense,L300*prisgrense,L300*Q300)</f>
        <v>0</v>
      </c>
      <c r="W300" s="132">
        <f t="shared" ref="W300" si="630">IF(R300&gt;prisgrense,M300*prisgrense,M300*R300)</f>
        <v>0</v>
      </c>
      <c r="X300" s="132">
        <f t="shared" ref="X300" si="631">SUM(T300:W300)</f>
        <v>62316</v>
      </c>
      <c r="Y300" s="152" t="s">
        <v>1025</v>
      </c>
      <c r="Z300" s="395"/>
      <c r="AC300" s="559"/>
    </row>
    <row r="301" spans="1:215" s="152" customFormat="1" ht="12.75" customHeight="1" outlineLevel="2" x14ac:dyDescent="0.2">
      <c r="A301" s="495">
        <v>8</v>
      </c>
      <c r="B301" s="150">
        <v>26</v>
      </c>
      <c r="C301" s="129" t="s">
        <v>146</v>
      </c>
      <c r="D301" s="129" t="s">
        <v>427</v>
      </c>
      <c r="E301" s="184">
        <v>19209700</v>
      </c>
      <c r="F301" s="130" t="s">
        <v>817</v>
      </c>
      <c r="G301" s="143" t="s">
        <v>58</v>
      </c>
      <c r="H301" s="143" t="s">
        <v>8</v>
      </c>
      <c r="I301" s="129" t="s">
        <v>168</v>
      </c>
      <c r="J301" s="129"/>
      <c r="K301" s="129"/>
      <c r="L301" s="129"/>
      <c r="M301" s="141"/>
      <c r="N301" s="302">
        <f t="shared" si="533"/>
        <v>0</v>
      </c>
      <c r="O301" s="149">
        <v>3787</v>
      </c>
      <c r="P301" s="149">
        <v>3787</v>
      </c>
      <c r="Q301" s="619">
        <v>3787</v>
      </c>
      <c r="R301" s="149">
        <v>3677</v>
      </c>
      <c r="S301" s="132">
        <f t="shared" si="535"/>
        <v>0</v>
      </c>
      <c r="T301" s="132">
        <f t="shared" si="536"/>
        <v>0</v>
      </c>
      <c r="U301" s="132">
        <f t="shared" si="536"/>
        <v>0</v>
      </c>
      <c r="V301" s="132">
        <f t="shared" si="536"/>
        <v>0</v>
      </c>
      <c r="W301" s="132">
        <f t="shared" si="536"/>
        <v>0</v>
      </c>
      <c r="X301" s="132">
        <f t="shared" si="537"/>
        <v>0</v>
      </c>
      <c r="Z301" s="395"/>
      <c r="AC301" s="559"/>
    </row>
    <row r="302" spans="1:215" s="152" customFormat="1" ht="12.75" customHeight="1" outlineLevel="2" x14ac:dyDescent="0.2">
      <c r="A302" s="495">
        <v>8</v>
      </c>
      <c r="B302" s="150">
        <v>27</v>
      </c>
      <c r="C302" s="156"/>
      <c r="D302" s="129" t="s">
        <v>680</v>
      </c>
      <c r="E302" s="184" t="s">
        <v>681</v>
      </c>
      <c r="F302" s="130" t="s">
        <v>607</v>
      </c>
      <c r="G302" s="137" t="s">
        <v>83</v>
      </c>
      <c r="H302" s="135" t="s">
        <v>8</v>
      </c>
      <c r="I302" s="129" t="s">
        <v>68</v>
      </c>
      <c r="J302" s="129">
        <v>426</v>
      </c>
      <c r="K302" s="129"/>
      <c r="L302" s="129"/>
      <c r="M302" s="141"/>
      <c r="N302" s="302">
        <f t="shared" si="533"/>
        <v>426</v>
      </c>
      <c r="O302" s="196">
        <v>4660</v>
      </c>
      <c r="P302" s="196">
        <v>4660</v>
      </c>
      <c r="Q302" s="196">
        <v>4660</v>
      </c>
      <c r="R302" s="196">
        <v>4660</v>
      </c>
      <c r="S302" s="132">
        <f t="shared" ref="S302" si="632">SUMPRODUCT(J302:M302,O302:R302)</f>
        <v>1985160</v>
      </c>
      <c r="T302" s="132">
        <f t="shared" ref="T302" si="633">IF(O302&gt;prisgrense,J302*prisgrense,J302*O302)</f>
        <v>1985160</v>
      </c>
      <c r="U302" s="132">
        <f t="shared" ref="U302" si="634">IF(P302&gt;prisgrense,K302*prisgrense,K302*P302)</f>
        <v>0</v>
      </c>
      <c r="V302" s="132">
        <f t="shared" ref="V302" si="635">IF(Q302&gt;prisgrense,L302*prisgrense,L302*Q302)</f>
        <v>0</v>
      </c>
      <c r="W302" s="132">
        <f t="shared" ref="W302" si="636">IF(R302&gt;prisgrense,M302*prisgrense,M302*R302)</f>
        <v>0</v>
      </c>
      <c r="X302" s="132">
        <f t="shared" ref="X302" si="637">SUM(T302:W302)</f>
        <v>1985160</v>
      </c>
      <c r="Y302" s="157" t="s">
        <v>1002</v>
      </c>
      <c r="Z302" s="395">
        <v>8</v>
      </c>
      <c r="AC302" s="559"/>
    </row>
    <row r="303" spans="1:215" s="152" customFormat="1" ht="12.75" customHeight="1" outlineLevel="2" x14ac:dyDescent="0.2">
      <c r="A303" s="495">
        <v>8</v>
      </c>
      <c r="B303" s="150">
        <v>27</v>
      </c>
      <c r="C303" s="156"/>
      <c r="D303" s="129" t="s">
        <v>1003</v>
      </c>
      <c r="E303" s="184" t="s">
        <v>999</v>
      </c>
      <c r="F303" s="130" t="s">
        <v>607</v>
      </c>
      <c r="G303" s="137"/>
      <c r="H303" s="135" t="s">
        <v>8</v>
      </c>
      <c r="I303" s="129" t="s">
        <v>68</v>
      </c>
      <c r="J303" s="129">
        <v>605</v>
      </c>
      <c r="K303" s="129"/>
      <c r="L303" s="129"/>
      <c r="M303" s="141"/>
      <c r="N303" s="302">
        <f t="shared" ref="N303" si="638">SUM(J303:M303)</f>
        <v>605</v>
      </c>
      <c r="O303" s="196">
        <v>4800</v>
      </c>
      <c r="P303" s="196">
        <v>4800</v>
      </c>
      <c r="Q303" s="625">
        <v>4800</v>
      </c>
      <c r="R303" s="196">
        <v>4660</v>
      </c>
      <c r="S303" s="132">
        <f t="shared" ref="S303" si="639">SUMPRODUCT(J303:M303,O303:R303)</f>
        <v>2904000</v>
      </c>
      <c r="T303" s="132">
        <f t="shared" ref="T303" si="640">IF(O303&gt;prisgrense,J303*prisgrense,J303*O303)</f>
        <v>2904000</v>
      </c>
      <c r="U303" s="132">
        <f t="shared" ref="U303" si="641">IF(P303&gt;prisgrense,K303*prisgrense,K303*P303)</f>
        <v>0</v>
      </c>
      <c r="V303" s="132">
        <f t="shared" ref="V303" si="642">IF(Q303&gt;prisgrense,L303*prisgrense,L303*Q303)</f>
        <v>0</v>
      </c>
      <c r="W303" s="132">
        <f t="shared" ref="W303" si="643">IF(R303&gt;prisgrense,M303*prisgrense,M303*R303)</f>
        <v>0</v>
      </c>
      <c r="X303" s="132">
        <f t="shared" ref="X303" si="644">SUM(T303:W303)</f>
        <v>2904000</v>
      </c>
      <c r="Y303" s="157" t="s">
        <v>1000</v>
      </c>
      <c r="Z303" s="395"/>
      <c r="AC303" s="559"/>
    </row>
    <row r="304" spans="1:215" s="152" customFormat="1" ht="12.75" customHeight="1" outlineLevel="2" x14ac:dyDescent="0.2">
      <c r="A304" s="495">
        <v>8</v>
      </c>
      <c r="B304" s="150">
        <v>28</v>
      </c>
      <c r="C304" s="156" t="s">
        <v>801</v>
      </c>
      <c r="D304" s="129" t="s">
        <v>814</v>
      </c>
      <c r="E304" s="184" t="s">
        <v>802</v>
      </c>
      <c r="F304" s="130" t="s">
        <v>106</v>
      </c>
      <c r="G304" s="143" t="s">
        <v>107</v>
      </c>
      <c r="H304" s="143" t="s">
        <v>8</v>
      </c>
      <c r="I304" s="129" t="s">
        <v>168</v>
      </c>
      <c r="J304" s="129">
        <v>47</v>
      </c>
      <c r="K304" s="129"/>
      <c r="L304" s="129"/>
      <c r="M304" s="141"/>
      <c r="N304" s="302">
        <f t="shared" ref="N304" si="645">SUM(J304:M304)</f>
        <v>47</v>
      </c>
      <c r="O304" s="144">
        <v>4770</v>
      </c>
      <c r="P304" s="144">
        <v>4770</v>
      </c>
      <c r="Q304" s="618">
        <v>4770</v>
      </c>
      <c r="R304" s="144">
        <v>4770</v>
      </c>
      <c r="S304" s="132">
        <f t="shared" ref="S304" si="646">SUMPRODUCT(J304:M304,O304:R304)</f>
        <v>224190</v>
      </c>
      <c r="T304" s="132">
        <f t="shared" ref="T304" si="647">IF(O304&gt;prisgrense,J304*prisgrense,J304*O304)</f>
        <v>224190</v>
      </c>
      <c r="U304" s="132">
        <f t="shared" ref="U304" si="648">IF(P304&gt;prisgrense,K304*prisgrense,K304*P304)</f>
        <v>0</v>
      </c>
      <c r="V304" s="132">
        <f t="shared" ref="V304" si="649">IF(Q304&gt;prisgrense,L304*prisgrense,L304*Q304)</f>
        <v>0</v>
      </c>
      <c r="W304" s="132">
        <f t="shared" ref="W304" si="650">IF(R304&gt;prisgrense,M304*prisgrense,M304*R304)</f>
        <v>0</v>
      </c>
      <c r="X304" s="132">
        <f t="shared" ref="X304" si="651">SUM(T304:W304)</f>
        <v>224190</v>
      </c>
      <c r="Y304" s="152" t="s">
        <v>1028</v>
      </c>
      <c r="Z304" s="395">
        <v>8</v>
      </c>
      <c r="AC304" s="559"/>
    </row>
    <row r="305" spans="1:29" s="152" customFormat="1" ht="12.75" customHeight="1" outlineLevel="2" x14ac:dyDescent="0.2">
      <c r="A305" s="495">
        <v>8</v>
      </c>
      <c r="B305" s="150">
        <v>28</v>
      </c>
      <c r="C305" s="156" t="s">
        <v>1023</v>
      </c>
      <c r="D305" s="129" t="s">
        <v>1029</v>
      </c>
      <c r="E305" s="184"/>
      <c r="F305" s="130" t="s">
        <v>106</v>
      </c>
      <c r="G305" s="143"/>
      <c r="H305" s="143" t="s">
        <v>8</v>
      </c>
      <c r="I305" s="129" t="s">
        <v>168</v>
      </c>
      <c r="J305" s="129"/>
      <c r="K305" s="129"/>
      <c r="L305" s="129"/>
      <c r="M305" s="141"/>
      <c r="N305" s="302">
        <f t="shared" ref="N305" si="652">SUM(J305:M305)</f>
        <v>0</v>
      </c>
      <c r="O305" s="144">
        <v>4770</v>
      </c>
      <c r="P305" s="144">
        <v>4770</v>
      </c>
      <c r="Q305" s="618">
        <v>4770</v>
      </c>
      <c r="R305" s="144">
        <v>4770</v>
      </c>
      <c r="S305" s="132">
        <f t="shared" ref="S305" si="653">SUMPRODUCT(J305:M305,O305:R305)</f>
        <v>0</v>
      </c>
      <c r="T305" s="132">
        <f t="shared" ref="T305" si="654">IF(O305&gt;prisgrense,J305*prisgrense,J305*O305)</f>
        <v>0</v>
      </c>
      <c r="U305" s="132">
        <f t="shared" ref="U305" si="655">IF(P305&gt;prisgrense,K305*prisgrense,K305*P305)</f>
        <v>0</v>
      </c>
      <c r="V305" s="132">
        <f t="shared" ref="V305" si="656">IF(Q305&gt;prisgrense,L305*prisgrense,L305*Q305)</f>
        <v>0</v>
      </c>
      <c r="W305" s="132">
        <f t="shared" ref="W305" si="657">IF(R305&gt;prisgrense,M305*prisgrense,M305*R305)</f>
        <v>0</v>
      </c>
      <c r="X305" s="132">
        <f t="shared" ref="X305" si="658">SUM(T305:W305)</f>
        <v>0</v>
      </c>
      <c r="Y305" s="152" t="s">
        <v>1021</v>
      </c>
      <c r="Z305" s="395"/>
      <c r="AC305" s="559"/>
    </row>
    <row r="306" spans="1:29" s="152" customFormat="1" ht="12.75" customHeight="1" outlineLevel="2" x14ac:dyDescent="0.2">
      <c r="A306" s="495">
        <v>8</v>
      </c>
      <c r="B306" s="150">
        <v>29</v>
      </c>
      <c r="C306" s="129" t="s">
        <v>951</v>
      </c>
      <c r="D306" s="129" t="s">
        <v>656</v>
      </c>
      <c r="E306" s="184" t="s">
        <v>429</v>
      </c>
      <c r="F306" s="135" t="s">
        <v>792</v>
      </c>
      <c r="G306" s="143" t="s">
        <v>104</v>
      </c>
      <c r="H306" s="143" t="s">
        <v>8</v>
      </c>
      <c r="I306" s="129" t="s">
        <v>168</v>
      </c>
      <c r="J306" s="129">
        <v>3</v>
      </c>
      <c r="K306" s="129"/>
      <c r="L306" s="129"/>
      <c r="M306" s="141"/>
      <c r="N306" s="302">
        <f t="shared" si="533"/>
        <v>3</v>
      </c>
      <c r="O306" s="392">
        <v>4660</v>
      </c>
      <c r="P306" s="392">
        <v>4660</v>
      </c>
      <c r="Q306" s="616">
        <v>4660</v>
      </c>
      <c r="R306" s="392">
        <v>4524</v>
      </c>
      <c r="S306" s="132">
        <f t="shared" ref="S306" si="659">SUMPRODUCT(J306:M306,O306:R306)</f>
        <v>13980</v>
      </c>
      <c r="T306" s="132">
        <f t="shared" ref="T306" si="660">IF(O306&gt;prisgrense,J306*prisgrense,J306*O306)</f>
        <v>13980</v>
      </c>
      <c r="U306" s="132">
        <f t="shared" ref="U306" si="661">IF(P306&gt;prisgrense,K306*prisgrense,K306*P306)</f>
        <v>0</v>
      </c>
      <c r="V306" s="132">
        <f t="shared" ref="V306" si="662">IF(Q306&gt;prisgrense,L306*prisgrense,L306*Q306)</f>
        <v>0</v>
      </c>
      <c r="W306" s="132">
        <f t="shared" ref="W306" si="663">IF(R306&gt;prisgrense,M306*prisgrense,M306*R306)</f>
        <v>0</v>
      </c>
      <c r="X306" s="132">
        <f t="shared" ref="X306" si="664">SUM(T306:W306)</f>
        <v>13980</v>
      </c>
      <c r="Y306" s="152" t="s">
        <v>850</v>
      </c>
      <c r="Z306" s="395"/>
      <c r="AC306" s="559"/>
    </row>
    <row r="307" spans="1:29" s="152" customFormat="1" ht="12.75" customHeight="1" outlineLevel="2" x14ac:dyDescent="0.2">
      <c r="A307" s="495">
        <v>8</v>
      </c>
      <c r="B307" s="150">
        <v>30</v>
      </c>
      <c r="C307" s="156" t="s">
        <v>142</v>
      </c>
      <c r="D307" s="129" t="s">
        <v>430</v>
      </c>
      <c r="E307" s="184" t="s">
        <v>431</v>
      </c>
      <c r="F307" s="135" t="s">
        <v>792</v>
      </c>
      <c r="G307" s="143" t="s">
        <v>104</v>
      </c>
      <c r="H307" s="135" t="s">
        <v>9</v>
      </c>
      <c r="I307" s="129" t="s">
        <v>504</v>
      </c>
      <c r="J307" s="129"/>
      <c r="K307" s="129"/>
      <c r="L307" s="129"/>
      <c r="M307" s="141"/>
      <c r="N307" s="302">
        <f t="shared" si="533"/>
        <v>0</v>
      </c>
      <c r="O307" s="392">
        <v>3978</v>
      </c>
      <c r="P307" s="392">
        <v>3978</v>
      </c>
      <c r="Q307" s="616">
        <v>3978</v>
      </c>
      <c r="R307" s="392">
        <v>3862</v>
      </c>
      <c r="S307" s="132">
        <f t="shared" si="535"/>
        <v>0</v>
      </c>
      <c r="T307" s="132">
        <f t="shared" si="536"/>
        <v>0</v>
      </c>
      <c r="U307" s="132">
        <f t="shared" si="536"/>
        <v>0</v>
      </c>
      <c r="V307" s="132">
        <f t="shared" si="536"/>
        <v>0</v>
      </c>
      <c r="W307" s="132">
        <f t="shared" si="536"/>
        <v>0</v>
      </c>
      <c r="X307" s="132">
        <f t="shared" si="537"/>
        <v>0</v>
      </c>
      <c r="Z307" s="395"/>
      <c r="AC307" s="559"/>
    </row>
    <row r="308" spans="1:29" s="152" customFormat="1" ht="12.75" customHeight="1" outlineLevel="2" x14ac:dyDescent="0.2">
      <c r="A308" s="495">
        <v>8</v>
      </c>
      <c r="B308" s="150">
        <v>31</v>
      </c>
      <c r="C308" s="156" t="s">
        <v>142</v>
      </c>
      <c r="D308" s="129" t="s">
        <v>432</v>
      </c>
      <c r="E308" s="184" t="s">
        <v>433</v>
      </c>
      <c r="F308" s="135" t="s">
        <v>792</v>
      </c>
      <c r="G308" s="143" t="s">
        <v>104</v>
      </c>
      <c r="H308" s="135" t="s">
        <v>9</v>
      </c>
      <c r="I308" s="129" t="s">
        <v>504</v>
      </c>
      <c r="J308" s="129"/>
      <c r="K308" s="129"/>
      <c r="L308" s="129"/>
      <c r="M308" s="141"/>
      <c r="N308" s="302">
        <f t="shared" si="533"/>
        <v>0</v>
      </c>
      <c r="O308" s="392">
        <v>3978</v>
      </c>
      <c r="P308" s="392">
        <v>3978</v>
      </c>
      <c r="Q308" s="616">
        <v>3978</v>
      </c>
      <c r="R308" s="392">
        <v>3862</v>
      </c>
      <c r="S308" s="132">
        <f t="shared" si="535"/>
        <v>0</v>
      </c>
      <c r="T308" s="132">
        <f t="shared" si="536"/>
        <v>0</v>
      </c>
      <c r="U308" s="132">
        <f t="shared" si="536"/>
        <v>0</v>
      </c>
      <c r="V308" s="132">
        <f t="shared" si="536"/>
        <v>0</v>
      </c>
      <c r="W308" s="132">
        <f t="shared" si="536"/>
        <v>0</v>
      </c>
      <c r="X308" s="132">
        <f t="shared" si="537"/>
        <v>0</v>
      </c>
      <c r="Z308" s="395"/>
      <c r="AC308" s="559"/>
    </row>
    <row r="309" spans="1:29" s="152" customFormat="1" ht="12.75" customHeight="1" outlineLevel="2" x14ac:dyDescent="0.2">
      <c r="A309" s="495">
        <v>8</v>
      </c>
      <c r="B309" s="150">
        <v>32</v>
      </c>
      <c r="C309" s="129" t="s">
        <v>951</v>
      </c>
      <c r="D309" s="129" t="s">
        <v>531</v>
      </c>
      <c r="E309" s="184">
        <v>1012102</v>
      </c>
      <c r="F309" s="135" t="s">
        <v>792</v>
      </c>
      <c r="G309" s="143" t="s">
        <v>104</v>
      </c>
      <c r="H309" s="135" t="s">
        <v>8</v>
      </c>
      <c r="I309" s="129" t="s">
        <v>168</v>
      </c>
      <c r="J309" s="129"/>
      <c r="K309" s="129"/>
      <c r="L309" s="129"/>
      <c r="M309" s="141"/>
      <c r="N309" s="302">
        <f t="shared" si="533"/>
        <v>0</v>
      </c>
      <c r="O309" s="392">
        <v>4660</v>
      </c>
      <c r="P309" s="392">
        <v>4660</v>
      </c>
      <c r="Q309" s="616">
        <v>4660</v>
      </c>
      <c r="R309" s="392">
        <v>4524</v>
      </c>
      <c r="S309" s="132">
        <f t="shared" si="535"/>
        <v>0</v>
      </c>
      <c r="T309" s="132">
        <f t="shared" si="536"/>
        <v>0</v>
      </c>
      <c r="U309" s="132">
        <f t="shared" si="536"/>
        <v>0</v>
      </c>
      <c r="V309" s="132">
        <f t="shared" si="536"/>
        <v>0</v>
      </c>
      <c r="W309" s="132">
        <f t="shared" si="536"/>
        <v>0</v>
      </c>
      <c r="X309" s="132">
        <f t="shared" si="537"/>
        <v>0</v>
      </c>
      <c r="Y309" s="152" t="s">
        <v>532</v>
      </c>
      <c r="Z309" s="395"/>
      <c r="AC309" s="559"/>
    </row>
    <row r="310" spans="1:29" s="152" customFormat="1" ht="12.75" customHeight="1" outlineLevel="2" x14ac:dyDescent="0.2">
      <c r="A310" s="495">
        <v>8</v>
      </c>
      <c r="B310" s="150">
        <v>34</v>
      </c>
      <c r="C310" s="156" t="s">
        <v>804</v>
      </c>
      <c r="D310" s="129" t="s">
        <v>816</v>
      </c>
      <c r="E310" s="184" t="s">
        <v>805</v>
      </c>
      <c r="F310" s="130" t="s">
        <v>106</v>
      </c>
      <c r="G310" s="143" t="s">
        <v>107</v>
      </c>
      <c r="H310" s="143" t="s">
        <v>8</v>
      </c>
      <c r="I310" s="129" t="s">
        <v>168</v>
      </c>
      <c r="J310" s="129"/>
      <c r="K310" s="129"/>
      <c r="L310" s="129"/>
      <c r="M310" s="141"/>
      <c r="N310" s="302">
        <f t="shared" ref="N310" si="665">SUM(J310:M310)</f>
        <v>0</v>
      </c>
      <c r="O310" s="144">
        <v>5185</v>
      </c>
      <c r="P310" s="144">
        <v>5185</v>
      </c>
      <c r="Q310" s="144">
        <v>5185</v>
      </c>
      <c r="R310" s="144">
        <v>5185</v>
      </c>
      <c r="S310" s="132">
        <f t="shared" ref="S310" si="666">SUMPRODUCT(J310:M310,O310:R310)</f>
        <v>0</v>
      </c>
      <c r="T310" s="132">
        <f t="shared" ref="T310" si="667">IF(O310&gt;prisgrense,J310*prisgrense,J310*O310)</f>
        <v>0</v>
      </c>
      <c r="U310" s="132">
        <f t="shared" ref="U310" si="668">IF(P310&gt;prisgrense,K310*prisgrense,K310*P310)</f>
        <v>0</v>
      </c>
      <c r="V310" s="132">
        <f t="shared" ref="V310" si="669">IF(Q310&gt;prisgrense,L310*prisgrense,L310*Q310)</f>
        <v>0</v>
      </c>
      <c r="W310" s="132">
        <f t="shared" ref="W310" si="670">IF(R310&gt;prisgrense,M310*prisgrense,M310*R310)</f>
        <v>0</v>
      </c>
      <c r="X310" s="132">
        <f t="shared" ref="X310" si="671">SUM(T310:W310)</f>
        <v>0</v>
      </c>
      <c r="Y310" s="152" t="s">
        <v>980</v>
      </c>
      <c r="Z310" s="395">
        <v>8</v>
      </c>
      <c r="AC310" s="559"/>
    </row>
    <row r="311" spans="1:29" s="152" customFormat="1" ht="12.75" customHeight="1" outlineLevel="2" x14ac:dyDescent="0.2">
      <c r="A311" s="495">
        <v>8</v>
      </c>
      <c r="B311" s="150">
        <v>35</v>
      </c>
      <c r="C311" s="156"/>
      <c r="D311" s="129" t="s">
        <v>925</v>
      </c>
      <c r="E311" s="184"/>
      <c r="F311" s="135" t="s">
        <v>151</v>
      </c>
      <c r="G311" s="135" t="s">
        <v>83</v>
      </c>
      <c r="H311" s="135" t="s">
        <v>8</v>
      </c>
      <c r="I311" s="129" t="s">
        <v>68</v>
      </c>
      <c r="J311" s="129"/>
      <c r="K311" s="129"/>
      <c r="L311" s="129"/>
      <c r="M311" s="141"/>
      <c r="N311" s="302">
        <f t="shared" ref="N311" si="672">SUM(J311:M311)</f>
        <v>0</v>
      </c>
      <c r="O311" s="146">
        <v>4004</v>
      </c>
      <c r="P311" s="146">
        <v>4004</v>
      </c>
      <c r="Q311" s="622">
        <v>4004</v>
      </c>
      <c r="R311" s="146">
        <v>3887</v>
      </c>
      <c r="S311" s="132">
        <f t="shared" ref="S311" si="673">SUMPRODUCT(J311:M311,O311:R311)</f>
        <v>0</v>
      </c>
      <c r="T311" s="132">
        <f t="shared" ref="T311" si="674">IF(O311&gt;prisgrense,J311*prisgrense,J311*O311)</f>
        <v>0</v>
      </c>
      <c r="U311" s="132">
        <f t="shared" ref="U311" si="675">IF(P311&gt;prisgrense,K311*prisgrense,K311*P311)</f>
        <v>0</v>
      </c>
      <c r="V311" s="132">
        <f t="shared" ref="V311" si="676">IF(Q311&gt;prisgrense,L311*prisgrense,L311*Q311)</f>
        <v>0</v>
      </c>
      <c r="W311" s="132">
        <f t="shared" ref="W311" si="677">IF(R311&gt;prisgrense,M311*prisgrense,M311*R311)</f>
        <v>0</v>
      </c>
      <c r="X311" s="132">
        <f t="shared" ref="X311" si="678">SUM(T311:W311)</f>
        <v>0</v>
      </c>
      <c r="Y311" s="152" t="s">
        <v>920</v>
      </c>
      <c r="Z311" s="395"/>
      <c r="AC311" s="559"/>
    </row>
    <row r="312" spans="1:29" s="152" customFormat="1" ht="12.75" customHeight="1" outlineLevel="2" x14ac:dyDescent="0.2">
      <c r="A312" s="495">
        <v>8</v>
      </c>
      <c r="B312" s="150">
        <v>36</v>
      </c>
      <c r="C312" s="156" t="s">
        <v>962</v>
      </c>
      <c r="D312" s="129" t="s">
        <v>961</v>
      </c>
      <c r="E312" s="184"/>
      <c r="F312" s="130" t="s">
        <v>817</v>
      </c>
      <c r="G312" s="143" t="s">
        <v>58</v>
      </c>
      <c r="H312" s="135" t="s">
        <v>8</v>
      </c>
      <c r="I312" s="129" t="s">
        <v>68</v>
      </c>
      <c r="J312" s="129">
        <v>2192</v>
      </c>
      <c r="K312" s="129"/>
      <c r="L312" s="129"/>
      <c r="M312" s="141"/>
      <c r="N312" s="302">
        <f t="shared" ref="N312" si="679">SUM(J312:M312)</f>
        <v>2192</v>
      </c>
      <c r="O312" s="149">
        <v>4851</v>
      </c>
      <c r="P312" s="149">
        <v>4851</v>
      </c>
      <c r="Q312" s="619">
        <v>4851</v>
      </c>
      <c r="R312" s="149">
        <v>4710</v>
      </c>
      <c r="S312" s="132">
        <f t="shared" ref="S312" si="680">SUMPRODUCT(J312:M312,O312:R312)</f>
        <v>10633392</v>
      </c>
      <c r="T312" s="132">
        <f t="shared" ref="T312" si="681">IF(O312&gt;prisgrense,J312*prisgrense,J312*O312)</f>
        <v>10591744</v>
      </c>
      <c r="U312" s="132">
        <f t="shared" ref="U312" si="682">IF(P312&gt;prisgrense,K312*prisgrense,K312*P312)</f>
        <v>0</v>
      </c>
      <c r="V312" s="132">
        <f t="shared" ref="V312" si="683">IF(Q312&gt;prisgrense,L312*prisgrense,L312*Q312)</f>
        <v>0</v>
      </c>
      <c r="W312" s="132">
        <f t="shared" ref="W312" si="684">IF(R312&gt;prisgrense,M312*prisgrense,M312*R312)</f>
        <v>0</v>
      </c>
      <c r="X312" s="132">
        <f t="shared" ref="X312" si="685">SUM(T312:W312)</f>
        <v>10591744</v>
      </c>
      <c r="Y312" s="157" t="s">
        <v>964</v>
      </c>
      <c r="Z312" s="395"/>
      <c r="AC312" s="559"/>
    </row>
    <row r="313" spans="1:29" s="152" customFormat="1" ht="12.75" customHeight="1" outlineLevel="2" x14ac:dyDescent="0.2">
      <c r="A313" s="495">
        <v>8</v>
      </c>
      <c r="B313" s="150">
        <v>37</v>
      </c>
      <c r="C313" s="156" t="s">
        <v>962</v>
      </c>
      <c r="D313" s="129" t="s">
        <v>963</v>
      </c>
      <c r="E313" s="184"/>
      <c r="F313" s="130" t="s">
        <v>817</v>
      </c>
      <c r="G313" s="143" t="s">
        <v>58</v>
      </c>
      <c r="H313" s="135" t="s">
        <v>8</v>
      </c>
      <c r="I313" s="129" t="s">
        <v>68</v>
      </c>
      <c r="J313" s="129">
        <v>178</v>
      </c>
      <c r="K313" s="129"/>
      <c r="L313" s="129"/>
      <c r="M313" s="141"/>
      <c r="N313" s="302">
        <f t="shared" ref="N313" si="686">SUM(J313:M313)</f>
        <v>178</v>
      </c>
      <c r="O313" s="149">
        <v>4851</v>
      </c>
      <c r="P313" s="149">
        <v>4851</v>
      </c>
      <c r="Q313" s="619">
        <v>4851</v>
      </c>
      <c r="R313" s="149">
        <v>4710</v>
      </c>
      <c r="S313" s="132">
        <f t="shared" ref="S313" si="687">SUMPRODUCT(J313:M313,O313:R313)</f>
        <v>863478</v>
      </c>
      <c r="T313" s="132">
        <f t="shared" ref="T313" si="688">IF(O313&gt;prisgrense,J313*prisgrense,J313*O313)</f>
        <v>860096</v>
      </c>
      <c r="U313" s="132">
        <f t="shared" ref="U313" si="689">IF(P313&gt;prisgrense,K313*prisgrense,K313*P313)</f>
        <v>0</v>
      </c>
      <c r="V313" s="132">
        <f t="shared" ref="V313" si="690">IF(Q313&gt;prisgrense,L313*prisgrense,L313*Q313)</f>
        <v>0</v>
      </c>
      <c r="W313" s="132">
        <f t="shared" ref="W313" si="691">IF(R313&gt;prisgrense,M313*prisgrense,M313*R313)</f>
        <v>0</v>
      </c>
      <c r="X313" s="132">
        <f t="shared" ref="X313" si="692">SUM(T313:W313)</f>
        <v>860096</v>
      </c>
      <c r="Y313" s="157" t="s">
        <v>964</v>
      </c>
      <c r="Z313" s="395"/>
      <c r="AC313" s="559"/>
    </row>
    <row r="314" spans="1:29" s="152" customFormat="1" ht="12.75" customHeight="1" outlineLevel="2" x14ac:dyDescent="0.2">
      <c r="A314" s="495">
        <v>8</v>
      </c>
      <c r="B314" s="150">
        <v>38</v>
      </c>
      <c r="C314" s="156" t="s">
        <v>801</v>
      </c>
      <c r="D314" s="129" t="s">
        <v>806</v>
      </c>
      <c r="E314" s="184" t="s">
        <v>807</v>
      </c>
      <c r="F314" s="130" t="s">
        <v>106</v>
      </c>
      <c r="G314" s="143" t="s">
        <v>107</v>
      </c>
      <c r="H314" s="143" t="s">
        <v>8</v>
      </c>
      <c r="I314" s="129" t="s">
        <v>68</v>
      </c>
      <c r="J314" s="129">
        <v>171</v>
      </c>
      <c r="K314" s="129"/>
      <c r="L314" s="129"/>
      <c r="M314" s="141"/>
      <c r="N314" s="302">
        <f>SUM(J314:M314)</f>
        <v>171</v>
      </c>
      <c r="O314" s="144">
        <v>4770</v>
      </c>
      <c r="P314" s="144">
        <v>4770</v>
      </c>
      <c r="Q314" s="618">
        <v>4770</v>
      </c>
      <c r="R314" s="144">
        <v>4770</v>
      </c>
      <c r="S314" s="132">
        <f t="shared" ref="S314" si="693">SUMPRODUCT(J314:M314,O314:R314)</f>
        <v>815670</v>
      </c>
      <c r="T314" s="132">
        <f t="shared" ref="T314" si="694">IF(O314&gt;prisgrense,J314*prisgrense,J314*O314)</f>
        <v>815670</v>
      </c>
      <c r="U314" s="132">
        <f t="shared" ref="U314" si="695">IF(P314&gt;prisgrense,K314*prisgrense,K314*P314)</f>
        <v>0</v>
      </c>
      <c r="V314" s="132">
        <f t="shared" ref="V314" si="696">IF(Q314&gt;prisgrense,L314*prisgrense,L314*Q314)</f>
        <v>0</v>
      </c>
      <c r="W314" s="132">
        <f t="shared" ref="W314" si="697">IF(R314&gt;prisgrense,M314*prisgrense,M314*R314)</f>
        <v>0</v>
      </c>
      <c r="X314" s="132">
        <f t="shared" ref="X314" si="698">SUM(T314:W314)</f>
        <v>815670</v>
      </c>
      <c r="Y314" s="152" t="s">
        <v>1028</v>
      </c>
      <c r="Z314" s="395">
        <v>8</v>
      </c>
      <c r="AC314" s="559"/>
    </row>
    <row r="315" spans="1:29" s="152" customFormat="1" ht="12.75" customHeight="1" outlineLevel="2" x14ac:dyDescent="0.2">
      <c r="A315" s="495">
        <v>8</v>
      </c>
      <c r="B315" s="150">
        <v>38</v>
      </c>
      <c r="C315" s="156" t="s">
        <v>1023</v>
      </c>
      <c r="D315" s="129" t="s">
        <v>1030</v>
      </c>
      <c r="E315" s="184"/>
      <c r="F315" s="130" t="s">
        <v>106</v>
      </c>
      <c r="G315" s="143"/>
      <c r="H315" s="143" t="s">
        <v>8</v>
      </c>
      <c r="I315" s="129" t="s">
        <v>68</v>
      </c>
      <c r="J315" s="129"/>
      <c r="K315" s="129"/>
      <c r="L315" s="129"/>
      <c r="M315" s="141"/>
      <c r="N315" s="302">
        <f>SUM(J315:M315)</f>
        <v>0</v>
      </c>
      <c r="O315" s="144">
        <v>4770</v>
      </c>
      <c r="P315" s="144">
        <v>4770</v>
      </c>
      <c r="Q315" s="618">
        <v>4770</v>
      </c>
      <c r="R315" s="144">
        <v>4770</v>
      </c>
      <c r="S315" s="132">
        <f t="shared" ref="S315" si="699">SUMPRODUCT(J315:M315,O315:R315)</f>
        <v>0</v>
      </c>
      <c r="T315" s="132">
        <f t="shared" ref="T315" si="700">IF(O315&gt;prisgrense,J315*prisgrense,J315*O315)</f>
        <v>0</v>
      </c>
      <c r="U315" s="132">
        <f t="shared" ref="U315" si="701">IF(P315&gt;prisgrense,K315*prisgrense,K315*P315)</f>
        <v>0</v>
      </c>
      <c r="V315" s="132">
        <f t="shared" ref="V315" si="702">IF(Q315&gt;prisgrense,L315*prisgrense,L315*Q315)</f>
        <v>0</v>
      </c>
      <c r="W315" s="132">
        <f t="shared" ref="W315" si="703">IF(R315&gt;prisgrense,M315*prisgrense,M315*R315)</f>
        <v>0</v>
      </c>
      <c r="X315" s="132">
        <f t="shared" ref="X315" si="704">SUM(T315:W315)</f>
        <v>0</v>
      </c>
      <c r="Y315" s="152" t="s">
        <v>1021</v>
      </c>
      <c r="Z315" s="395"/>
      <c r="AC315" s="559"/>
    </row>
    <row r="316" spans="1:29" s="152" customFormat="1" ht="12.75" customHeight="1" outlineLevel="2" x14ac:dyDescent="0.2">
      <c r="A316" s="495">
        <v>8</v>
      </c>
      <c r="B316" s="150">
        <v>39</v>
      </c>
      <c r="C316" s="156" t="s">
        <v>142</v>
      </c>
      <c r="D316" s="129" t="s">
        <v>443</v>
      </c>
      <c r="E316" s="184" t="s">
        <v>444</v>
      </c>
      <c r="F316" s="135" t="s">
        <v>792</v>
      </c>
      <c r="G316" s="143" t="s">
        <v>104</v>
      </c>
      <c r="H316" s="135" t="s">
        <v>8</v>
      </c>
      <c r="I316" s="129" t="s">
        <v>68</v>
      </c>
      <c r="J316" s="129"/>
      <c r="K316" s="129"/>
      <c r="L316" s="129"/>
      <c r="M316" s="141"/>
      <c r="N316" s="302">
        <f t="shared" si="533"/>
        <v>0</v>
      </c>
      <c r="O316" s="392">
        <v>3978</v>
      </c>
      <c r="P316" s="392">
        <v>3978</v>
      </c>
      <c r="Q316" s="616">
        <v>3978</v>
      </c>
      <c r="R316" s="392">
        <v>3862</v>
      </c>
      <c r="S316" s="132">
        <f t="shared" si="535"/>
        <v>0</v>
      </c>
      <c r="T316" s="132">
        <f t="shared" ref="T316:W341" si="705">IF(O316&gt;prisgrense,J316*prisgrense,J316*O316)</f>
        <v>0</v>
      </c>
      <c r="U316" s="132">
        <f t="shared" si="705"/>
        <v>0</v>
      </c>
      <c r="V316" s="132">
        <f t="shared" si="705"/>
        <v>0</v>
      </c>
      <c r="W316" s="132">
        <f t="shared" si="705"/>
        <v>0</v>
      </c>
      <c r="X316" s="132">
        <f t="shared" si="537"/>
        <v>0</v>
      </c>
      <c r="Z316" s="395"/>
      <c r="AC316" s="559"/>
    </row>
    <row r="317" spans="1:29" s="152" customFormat="1" ht="12.75" customHeight="1" outlineLevel="2" x14ac:dyDescent="0.2">
      <c r="A317" s="495">
        <v>8</v>
      </c>
      <c r="B317" s="150">
        <v>40</v>
      </c>
      <c r="C317" s="156" t="s">
        <v>801</v>
      </c>
      <c r="D317" s="129" t="s">
        <v>815</v>
      </c>
      <c r="E317" s="184" t="s">
        <v>808</v>
      </c>
      <c r="F317" s="130" t="s">
        <v>106</v>
      </c>
      <c r="G317" s="143" t="s">
        <v>107</v>
      </c>
      <c r="H317" s="143" t="s">
        <v>8</v>
      </c>
      <c r="I317" s="129" t="s">
        <v>68</v>
      </c>
      <c r="J317" s="129">
        <v>11</v>
      </c>
      <c r="K317" s="129"/>
      <c r="L317" s="129"/>
      <c r="M317" s="141"/>
      <c r="N317" s="302">
        <f t="shared" ref="N317" si="706">SUM(J317:M317)</f>
        <v>11</v>
      </c>
      <c r="O317" s="144">
        <v>4770</v>
      </c>
      <c r="P317" s="144">
        <v>4770</v>
      </c>
      <c r="Q317" s="618">
        <v>4770</v>
      </c>
      <c r="R317" s="144">
        <v>4770</v>
      </c>
      <c r="S317" s="132">
        <f t="shared" ref="S317" si="707">SUMPRODUCT(J317:M317,O317:R317)</f>
        <v>52470</v>
      </c>
      <c r="T317" s="132">
        <f t="shared" ref="T317" si="708">IF(O317&gt;prisgrense,J317*prisgrense,J317*O317)</f>
        <v>52470</v>
      </c>
      <c r="U317" s="132">
        <f t="shared" ref="U317" si="709">IF(P317&gt;prisgrense,K317*prisgrense,K317*P317)</f>
        <v>0</v>
      </c>
      <c r="V317" s="132">
        <f t="shared" ref="V317" si="710">IF(Q317&gt;prisgrense,L317*prisgrense,L317*Q317)</f>
        <v>0</v>
      </c>
      <c r="W317" s="132">
        <f t="shared" ref="W317" si="711">IF(R317&gt;prisgrense,M317*prisgrense,M317*R317)</f>
        <v>0</v>
      </c>
      <c r="X317" s="132">
        <f t="shared" ref="X317" si="712">SUM(T317:W317)</f>
        <v>52470</v>
      </c>
      <c r="Y317" s="152" t="s">
        <v>1028</v>
      </c>
      <c r="Z317" s="395">
        <v>8</v>
      </c>
      <c r="AC317" s="559"/>
    </row>
    <row r="318" spans="1:29" s="152" customFormat="1" ht="12.75" customHeight="1" outlineLevel="2" x14ac:dyDescent="0.2">
      <c r="A318" s="495">
        <v>8</v>
      </c>
      <c r="B318" s="150">
        <v>40</v>
      </c>
      <c r="C318" s="156" t="s">
        <v>1023</v>
      </c>
      <c r="D318" s="129" t="s">
        <v>1030</v>
      </c>
      <c r="E318" s="184"/>
      <c r="F318" s="130" t="s">
        <v>106</v>
      </c>
      <c r="G318" s="143"/>
      <c r="H318" s="143" t="s">
        <v>8</v>
      </c>
      <c r="I318" s="129" t="s">
        <v>68</v>
      </c>
      <c r="J318" s="129"/>
      <c r="K318" s="129"/>
      <c r="L318" s="129"/>
      <c r="M318" s="141"/>
      <c r="N318" s="302">
        <f t="shared" ref="N318" si="713">SUM(J318:M318)</f>
        <v>0</v>
      </c>
      <c r="O318" s="144">
        <v>4770</v>
      </c>
      <c r="P318" s="144">
        <v>4770</v>
      </c>
      <c r="Q318" s="618">
        <v>4770</v>
      </c>
      <c r="R318" s="144">
        <v>4770</v>
      </c>
      <c r="S318" s="132">
        <f t="shared" ref="S318" si="714">SUMPRODUCT(J318:M318,O318:R318)</f>
        <v>0</v>
      </c>
      <c r="T318" s="132">
        <f t="shared" ref="T318" si="715">IF(O318&gt;prisgrense,J318*prisgrense,J318*O318)</f>
        <v>0</v>
      </c>
      <c r="U318" s="132">
        <f t="shared" ref="U318" si="716">IF(P318&gt;prisgrense,K318*prisgrense,K318*P318)</f>
        <v>0</v>
      </c>
      <c r="V318" s="132">
        <f t="shared" ref="V318" si="717">IF(Q318&gt;prisgrense,L318*prisgrense,L318*Q318)</f>
        <v>0</v>
      </c>
      <c r="W318" s="132">
        <f t="shared" ref="W318" si="718">IF(R318&gt;prisgrense,M318*prisgrense,M318*R318)</f>
        <v>0</v>
      </c>
      <c r="X318" s="132">
        <f t="shared" ref="X318" si="719">SUM(T318:W318)</f>
        <v>0</v>
      </c>
      <c r="Y318" s="152" t="s">
        <v>1021</v>
      </c>
      <c r="Z318" s="395"/>
      <c r="AC318" s="559"/>
    </row>
    <row r="319" spans="1:29" s="152" customFormat="1" ht="12.75" customHeight="1" outlineLevel="2" x14ac:dyDescent="0.2">
      <c r="A319" s="495">
        <v>8</v>
      </c>
      <c r="B319" s="150">
        <v>41</v>
      </c>
      <c r="C319" s="129" t="s">
        <v>146</v>
      </c>
      <c r="D319" s="129" t="s">
        <v>447</v>
      </c>
      <c r="E319" s="184">
        <v>18305600</v>
      </c>
      <c r="F319" s="130" t="s">
        <v>817</v>
      </c>
      <c r="G319" s="143" t="s">
        <v>58</v>
      </c>
      <c r="H319" s="143" t="s">
        <v>8</v>
      </c>
      <c r="I319" s="129" t="s">
        <v>68</v>
      </c>
      <c r="J319" s="129">
        <v>5</v>
      </c>
      <c r="K319" s="129"/>
      <c r="L319" s="129"/>
      <c r="M319" s="141"/>
      <c r="N319" s="302">
        <f t="shared" si="533"/>
        <v>5</v>
      </c>
      <c r="O319" s="149">
        <v>3787</v>
      </c>
      <c r="P319" s="149">
        <v>3787</v>
      </c>
      <c r="Q319" s="619">
        <v>3787</v>
      </c>
      <c r="R319" s="149">
        <v>3677</v>
      </c>
      <c r="S319" s="132">
        <f t="shared" si="535"/>
        <v>18935</v>
      </c>
      <c r="T319" s="132">
        <f t="shared" si="705"/>
        <v>18935</v>
      </c>
      <c r="U319" s="132">
        <f t="shared" si="705"/>
        <v>0</v>
      </c>
      <c r="V319" s="132">
        <f t="shared" si="705"/>
        <v>0</v>
      </c>
      <c r="W319" s="132">
        <f t="shared" si="705"/>
        <v>0</v>
      </c>
      <c r="X319" s="132">
        <f t="shared" si="537"/>
        <v>18935</v>
      </c>
      <c r="Z319" s="395"/>
      <c r="AC319" s="559"/>
    </row>
    <row r="320" spans="1:29" s="152" customFormat="1" ht="12.75" customHeight="1" outlineLevel="2" x14ac:dyDescent="0.2">
      <c r="A320" s="495">
        <v>8</v>
      </c>
      <c r="B320" s="150">
        <v>42</v>
      </c>
      <c r="C320" s="141" t="s">
        <v>777</v>
      </c>
      <c r="D320" s="128" t="s">
        <v>865</v>
      </c>
      <c r="E320" s="320"/>
      <c r="F320" s="130" t="s">
        <v>817</v>
      </c>
      <c r="G320" s="143"/>
      <c r="H320" s="143" t="s">
        <v>8</v>
      </c>
      <c r="I320" s="129" t="s">
        <v>68</v>
      </c>
      <c r="J320" s="129">
        <v>279</v>
      </c>
      <c r="K320" s="129"/>
      <c r="L320" s="129"/>
      <c r="M320" s="141"/>
      <c r="N320" s="302">
        <f>SUM(J320:M320)</f>
        <v>279</v>
      </c>
      <c r="O320" s="149">
        <v>4851</v>
      </c>
      <c r="P320" s="149">
        <v>4851</v>
      </c>
      <c r="Q320" s="619">
        <v>4851</v>
      </c>
      <c r="R320" s="149">
        <v>4710</v>
      </c>
      <c r="S320" s="132">
        <f>SUMPRODUCT(J320:M320,O320:R320)</f>
        <v>1353429</v>
      </c>
      <c r="T320" s="132">
        <f t="shared" ref="T320" si="720">IF(O320&gt;prisgrense,J320*prisgrense,J320*O320)</f>
        <v>1348128</v>
      </c>
      <c r="U320" s="132">
        <f t="shared" ref="U320" si="721">IF(P320&gt;prisgrense,K320*prisgrense,K320*P320)</f>
        <v>0</v>
      </c>
      <c r="V320" s="132">
        <f t="shared" ref="V320" si="722">IF(Q320&gt;prisgrense,L320*prisgrense,L320*Q320)</f>
        <v>0</v>
      </c>
      <c r="W320" s="132">
        <f t="shared" ref="W320" si="723">IF(R320&gt;prisgrense,M320*prisgrense,M320*R320)</f>
        <v>0</v>
      </c>
      <c r="X320" s="132">
        <f>SUM(T320:W320)</f>
        <v>1348128</v>
      </c>
      <c r="Y320" s="157" t="s">
        <v>866</v>
      </c>
      <c r="Z320" s="395"/>
      <c r="AC320" s="559"/>
    </row>
    <row r="321" spans="1:29" s="152" customFormat="1" ht="12.75" customHeight="1" outlineLevel="2" x14ac:dyDescent="0.2">
      <c r="A321" s="495">
        <v>8</v>
      </c>
      <c r="B321" s="150">
        <v>43</v>
      </c>
      <c r="C321" s="202" t="s">
        <v>809</v>
      </c>
      <c r="D321" s="128" t="s">
        <v>810</v>
      </c>
      <c r="E321" s="357" t="s">
        <v>811</v>
      </c>
      <c r="F321" s="130" t="s">
        <v>106</v>
      </c>
      <c r="G321" s="143" t="s">
        <v>107</v>
      </c>
      <c r="H321" s="143" t="s">
        <v>8</v>
      </c>
      <c r="I321" s="129" t="s">
        <v>68</v>
      </c>
      <c r="J321" s="129"/>
      <c r="K321" s="129"/>
      <c r="L321" s="129"/>
      <c r="M321" s="141"/>
      <c r="N321" s="302">
        <f t="shared" ref="N321" si="724">SUM(J321:M321)</f>
        <v>0</v>
      </c>
      <c r="O321" s="144">
        <v>5185</v>
      </c>
      <c r="P321" s="144">
        <v>5185</v>
      </c>
      <c r="Q321" s="144">
        <v>5185</v>
      </c>
      <c r="R321" s="144">
        <v>5185</v>
      </c>
      <c r="S321" s="132">
        <f t="shared" ref="S321" si="725">SUMPRODUCT(J321:M321,O321:R321)</f>
        <v>0</v>
      </c>
      <c r="T321" s="132">
        <f t="shared" ref="T321" si="726">IF(O321&gt;prisgrense,J321*prisgrense,J321*O321)</f>
        <v>0</v>
      </c>
      <c r="U321" s="132">
        <f t="shared" ref="U321" si="727">IF(P321&gt;prisgrense,K321*prisgrense,K321*P321)</f>
        <v>0</v>
      </c>
      <c r="V321" s="132">
        <f t="shared" ref="V321" si="728">IF(Q321&gt;prisgrense,L321*prisgrense,L321*Q321)</f>
        <v>0</v>
      </c>
      <c r="W321" s="132">
        <f t="shared" ref="W321" si="729">IF(R321&gt;prisgrense,M321*prisgrense,M321*R321)</f>
        <v>0</v>
      </c>
      <c r="X321" s="132">
        <f t="shared" ref="X321" si="730">SUM(T321:W321)</f>
        <v>0</v>
      </c>
      <c r="Y321" s="152" t="s">
        <v>980</v>
      </c>
      <c r="Z321" s="395">
        <v>8</v>
      </c>
      <c r="AC321" s="559"/>
    </row>
    <row r="322" spans="1:29" s="152" customFormat="1" ht="12.75" customHeight="1" outlineLevel="2" x14ac:dyDescent="0.2">
      <c r="A322" s="495">
        <v>8</v>
      </c>
      <c r="B322" s="150">
        <v>44</v>
      </c>
      <c r="C322" s="141" t="s">
        <v>777</v>
      </c>
      <c r="D322" s="128" t="s">
        <v>778</v>
      </c>
      <c r="E322" s="357">
        <v>19312601</v>
      </c>
      <c r="F322" s="130" t="s">
        <v>817</v>
      </c>
      <c r="G322" s="143" t="s">
        <v>58</v>
      </c>
      <c r="H322" s="135" t="s">
        <v>8</v>
      </c>
      <c r="I322" s="129" t="s">
        <v>168</v>
      </c>
      <c r="J322" s="129">
        <v>199</v>
      </c>
      <c r="K322" s="129"/>
      <c r="L322" s="129"/>
      <c r="M322" s="141"/>
      <c r="N322" s="302">
        <f t="shared" si="533"/>
        <v>199</v>
      </c>
      <c r="O322" s="149">
        <v>4851</v>
      </c>
      <c r="P322" s="149">
        <v>4851</v>
      </c>
      <c r="Q322" s="619">
        <v>4851</v>
      </c>
      <c r="R322" s="149">
        <v>4710</v>
      </c>
      <c r="S322" s="132">
        <f t="shared" ref="S322" si="731">SUMPRODUCT(J322:M322,O322:R322)</f>
        <v>965349</v>
      </c>
      <c r="T322" s="132">
        <f t="shared" ref="T322" si="732">IF(O322&gt;prisgrense,J322*prisgrense,J322*O322)</f>
        <v>961568</v>
      </c>
      <c r="U322" s="132">
        <f t="shared" ref="U322" si="733">IF(P322&gt;prisgrense,K322*prisgrense,K322*P322)</f>
        <v>0</v>
      </c>
      <c r="V322" s="132">
        <f t="shared" ref="V322" si="734">IF(Q322&gt;prisgrense,L322*prisgrense,L322*Q322)</f>
        <v>0</v>
      </c>
      <c r="W322" s="132">
        <f t="shared" ref="W322" si="735">IF(R322&gt;prisgrense,M322*prisgrense,M322*R322)</f>
        <v>0</v>
      </c>
      <c r="X322" s="132">
        <f t="shared" ref="X322" si="736">SUM(T322:W322)</f>
        <v>961568</v>
      </c>
      <c r="Y322" s="152" t="s">
        <v>762</v>
      </c>
      <c r="Z322" s="395"/>
      <c r="AC322" s="559"/>
    </row>
    <row r="323" spans="1:29" ht="12.75" customHeight="1" outlineLevel="2" x14ac:dyDescent="0.2">
      <c r="A323" s="495">
        <v>8</v>
      </c>
      <c r="B323" s="150">
        <v>44</v>
      </c>
      <c r="C323" s="156" t="s">
        <v>416</v>
      </c>
      <c r="D323" s="128" t="s">
        <v>448</v>
      </c>
      <c r="E323" s="357">
        <v>19091500</v>
      </c>
      <c r="F323" s="130" t="s">
        <v>817</v>
      </c>
      <c r="G323" s="143" t="s">
        <v>58</v>
      </c>
      <c r="H323" s="135" t="s">
        <v>8</v>
      </c>
      <c r="I323" s="129" t="s">
        <v>68</v>
      </c>
      <c r="J323" s="129"/>
      <c r="K323" s="129"/>
      <c r="L323" s="129"/>
      <c r="M323" s="141"/>
      <c r="N323" s="302">
        <f t="shared" si="533"/>
        <v>0</v>
      </c>
      <c r="O323" s="149">
        <v>4851</v>
      </c>
      <c r="P323" s="149">
        <v>4851</v>
      </c>
      <c r="Q323" s="619">
        <v>4851</v>
      </c>
      <c r="R323" s="149">
        <v>4710</v>
      </c>
      <c r="S323" s="132">
        <f t="shared" si="535"/>
        <v>0</v>
      </c>
      <c r="T323" s="132">
        <f t="shared" si="705"/>
        <v>0</v>
      </c>
      <c r="U323" s="132">
        <f t="shared" si="705"/>
        <v>0</v>
      </c>
      <c r="V323" s="132">
        <f t="shared" si="705"/>
        <v>0</v>
      </c>
      <c r="W323" s="132">
        <f t="shared" si="705"/>
        <v>0</v>
      </c>
      <c r="X323" s="132">
        <f t="shared" si="537"/>
        <v>0</v>
      </c>
      <c r="Y323" s="104"/>
      <c r="AC323" s="521"/>
    </row>
    <row r="324" spans="1:29" ht="12.75" customHeight="1" outlineLevel="2" x14ac:dyDescent="0.2">
      <c r="A324" s="495">
        <v>8</v>
      </c>
      <c r="B324" s="150">
        <v>46</v>
      </c>
      <c r="C324" s="202" t="s">
        <v>142</v>
      </c>
      <c r="D324" s="128" t="s">
        <v>449</v>
      </c>
      <c r="E324" s="357" t="s">
        <v>450</v>
      </c>
      <c r="F324" s="135" t="s">
        <v>792</v>
      </c>
      <c r="G324" s="143" t="s">
        <v>104</v>
      </c>
      <c r="H324" s="135" t="s">
        <v>8</v>
      </c>
      <c r="I324" s="129" t="s">
        <v>68</v>
      </c>
      <c r="J324" s="129"/>
      <c r="K324" s="129"/>
      <c r="L324" s="129"/>
      <c r="M324" s="141"/>
      <c r="N324" s="302">
        <f t="shared" si="533"/>
        <v>0</v>
      </c>
      <c r="O324" s="392">
        <v>3978</v>
      </c>
      <c r="P324" s="392">
        <v>3978</v>
      </c>
      <c r="Q324" s="616">
        <v>3978</v>
      </c>
      <c r="R324" s="392">
        <v>3862</v>
      </c>
      <c r="S324" s="132">
        <f t="shared" si="535"/>
        <v>0</v>
      </c>
      <c r="T324" s="132">
        <f t="shared" si="705"/>
        <v>0</v>
      </c>
      <c r="U324" s="132">
        <f t="shared" si="705"/>
        <v>0</v>
      </c>
      <c r="V324" s="132">
        <f t="shared" si="705"/>
        <v>0</v>
      </c>
      <c r="W324" s="132">
        <f t="shared" si="705"/>
        <v>0</v>
      </c>
      <c r="X324" s="132">
        <f t="shared" si="537"/>
        <v>0</v>
      </c>
      <c r="Y324" s="104"/>
      <c r="AC324" s="521"/>
    </row>
    <row r="325" spans="1:29" ht="12.75" customHeight="1" outlineLevel="2" x14ac:dyDescent="0.2">
      <c r="A325" s="495">
        <v>8</v>
      </c>
      <c r="B325" s="150">
        <v>47</v>
      </c>
      <c r="C325" s="202" t="s">
        <v>804</v>
      </c>
      <c r="D325" s="154" t="s">
        <v>812</v>
      </c>
      <c r="E325" s="357" t="s">
        <v>813</v>
      </c>
      <c r="F325" s="130" t="s">
        <v>106</v>
      </c>
      <c r="G325" s="143" t="s">
        <v>107</v>
      </c>
      <c r="H325" s="143" t="s">
        <v>8</v>
      </c>
      <c r="I325" s="129" t="s">
        <v>68</v>
      </c>
      <c r="J325" s="129"/>
      <c r="K325" s="129"/>
      <c r="L325" s="129"/>
      <c r="M325" s="154"/>
      <c r="N325" s="302">
        <f t="shared" ref="N325" si="737">SUM(J325:M325)</f>
        <v>0</v>
      </c>
      <c r="O325" s="144">
        <v>5185</v>
      </c>
      <c r="P325" s="144">
        <v>5185</v>
      </c>
      <c r="Q325" s="144">
        <v>5185</v>
      </c>
      <c r="R325" s="144">
        <v>5185</v>
      </c>
      <c r="S325" s="132">
        <f t="shared" ref="S325" si="738">SUMPRODUCT(J325:M325,O325:R325)</f>
        <v>0</v>
      </c>
      <c r="T325" s="132">
        <f t="shared" ref="T325" si="739">IF(O325&gt;prisgrense,J325*prisgrense,J325*O325)</f>
        <v>0</v>
      </c>
      <c r="U325" s="132">
        <f t="shared" ref="U325" si="740">IF(P325&gt;prisgrense,K325*prisgrense,K325*P325)</f>
        <v>0</v>
      </c>
      <c r="V325" s="132">
        <f t="shared" ref="V325" si="741">IF(Q325&gt;prisgrense,L325*prisgrense,L325*Q325)</f>
        <v>0</v>
      </c>
      <c r="W325" s="132">
        <f t="shared" ref="W325" si="742">IF(R325&gt;prisgrense,M325*prisgrense,M325*R325)</f>
        <v>0</v>
      </c>
      <c r="X325" s="132">
        <f t="shared" ref="X325" si="743">SUM(T325:W325)</f>
        <v>0</v>
      </c>
      <c r="Y325" s="152" t="s">
        <v>980</v>
      </c>
      <c r="Z325" s="393">
        <v>8</v>
      </c>
      <c r="AC325" s="521"/>
    </row>
    <row r="326" spans="1:29" ht="12.75" customHeight="1" outlineLevel="2" x14ac:dyDescent="0.2">
      <c r="A326" s="495">
        <v>8</v>
      </c>
      <c r="B326" s="150">
        <v>48</v>
      </c>
      <c r="C326" s="129" t="s">
        <v>146</v>
      </c>
      <c r="D326" s="129" t="s">
        <v>453</v>
      </c>
      <c r="E326" s="184">
        <v>19196600</v>
      </c>
      <c r="F326" s="130" t="s">
        <v>817</v>
      </c>
      <c r="G326" s="143" t="s">
        <v>58</v>
      </c>
      <c r="H326" s="131" t="s">
        <v>8</v>
      </c>
      <c r="I326" s="128" t="s">
        <v>68</v>
      </c>
      <c r="J326" s="128"/>
      <c r="K326" s="128"/>
      <c r="L326" s="128"/>
      <c r="M326" s="336"/>
      <c r="N326" s="302">
        <f t="shared" si="533"/>
        <v>0</v>
      </c>
      <c r="O326" s="149">
        <v>3787</v>
      </c>
      <c r="P326" s="149">
        <v>3787</v>
      </c>
      <c r="Q326" s="619">
        <v>3787</v>
      </c>
      <c r="R326" s="149">
        <v>3677</v>
      </c>
      <c r="S326" s="132">
        <f t="shared" si="535"/>
        <v>0</v>
      </c>
      <c r="T326" s="132">
        <f t="shared" si="705"/>
        <v>0</v>
      </c>
      <c r="U326" s="132">
        <f t="shared" si="705"/>
        <v>0</v>
      </c>
      <c r="V326" s="132">
        <f t="shared" si="705"/>
        <v>0</v>
      </c>
      <c r="W326" s="132">
        <f t="shared" si="705"/>
        <v>0</v>
      </c>
      <c r="X326" s="132">
        <f t="shared" si="537"/>
        <v>0</v>
      </c>
      <c r="Y326" s="104"/>
      <c r="AC326" s="521"/>
    </row>
    <row r="327" spans="1:29" ht="12.75" customHeight="1" outlineLevel="2" x14ac:dyDescent="0.2">
      <c r="A327" s="495">
        <v>8</v>
      </c>
      <c r="B327" s="150">
        <v>49</v>
      </c>
      <c r="C327" s="129" t="s">
        <v>951</v>
      </c>
      <c r="D327" s="129" t="s">
        <v>529</v>
      </c>
      <c r="E327" s="184">
        <v>1021129</v>
      </c>
      <c r="F327" s="135" t="s">
        <v>792</v>
      </c>
      <c r="G327" s="143" t="s">
        <v>104</v>
      </c>
      <c r="H327" s="135" t="s">
        <v>9</v>
      </c>
      <c r="I327" s="129" t="s">
        <v>504</v>
      </c>
      <c r="J327" s="129"/>
      <c r="K327" s="129"/>
      <c r="L327" s="129"/>
      <c r="M327" s="141"/>
      <c r="N327" s="302">
        <f t="shared" si="533"/>
        <v>0</v>
      </c>
      <c r="O327" s="392">
        <v>4660</v>
      </c>
      <c r="P327" s="392">
        <v>4660</v>
      </c>
      <c r="Q327" s="616">
        <v>4660</v>
      </c>
      <c r="R327" s="392">
        <v>4524</v>
      </c>
      <c r="S327" s="132">
        <f t="shared" si="535"/>
        <v>0</v>
      </c>
      <c r="T327" s="132">
        <f t="shared" si="705"/>
        <v>0</v>
      </c>
      <c r="U327" s="132">
        <f t="shared" si="705"/>
        <v>0</v>
      </c>
      <c r="V327" s="132">
        <f t="shared" si="705"/>
        <v>0</v>
      </c>
      <c r="W327" s="132">
        <f t="shared" si="705"/>
        <v>0</v>
      </c>
      <c r="X327" s="132">
        <f t="shared" si="537"/>
        <v>0</v>
      </c>
      <c r="Y327" s="104" t="s">
        <v>532</v>
      </c>
      <c r="AC327" s="521"/>
    </row>
    <row r="328" spans="1:29" ht="12.75" customHeight="1" outlineLevel="2" x14ac:dyDescent="0.2">
      <c r="A328" s="495">
        <v>8</v>
      </c>
      <c r="B328" s="150">
        <v>50</v>
      </c>
      <c r="C328" s="156">
        <v>7</v>
      </c>
      <c r="D328" s="129" t="s">
        <v>928</v>
      </c>
      <c r="E328" s="184"/>
      <c r="F328" s="135" t="s">
        <v>151</v>
      </c>
      <c r="G328" s="135" t="s">
        <v>83</v>
      </c>
      <c r="H328" s="135" t="s">
        <v>8</v>
      </c>
      <c r="I328" s="129" t="s">
        <v>68</v>
      </c>
      <c r="J328" s="129">
        <v>97</v>
      </c>
      <c r="K328" s="129"/>
      <c r="L328" s="129"/>
      <c r="M328" s="485"/>
      <c r="N328" s="302">
        <f t="shared" ref="N328" si="744">SUM(J328:M328)</f>
        <v>97</v>
      </c>
      <c r="O328" s="146">
        <v>4770</v>
      </c>
      <c r="P328" s="146">
        <v>4770</v>
      </c>
      <c r="Q328" s="622">
        <v>4770</v>
      </c>
      <c r="R328" s="146">
        <v>4770</v>
      </c>
      <c r="S328" s="132">
        <f t="shared" ref="S328" si="745">SUMPRODUCT(J328:M328,O328:R328)</f>
        <v>462690</v>
      </c>
      <c r="T328" s="132">
        <f t="shared" ref="T328" si="746">IF(O328&gt;prisgrense,J328*prisgrense,J328*O328)</f>
        <v>462690</v>
      </c>
      <c r="U328" s="132">
        <f t="shared" ref="U328" si="747">IF(P328&gt;prisgrense,K328*prisgrense,K328*P328)</f>
        <v>0</v>
      </c>
      <c r="V328" s="132">
        <f t="shared" ref="V328" si="748">IF(Q328&gt;prisgrense,L328*prisgrense,L328*Q328)</f>
        <v>0</v>
      </c>
      <c r="W328" s="132">
        <f t="shared" ref="W328" si="749">IF(R328&gt;prisgrense,M328*prisgrense,M328*R328)</f>
        <v>0</v>
      </c>
      <c r="X328" s="132">
        <f t="shared" ref="X328" si="750">SUM(T328:W328)</f>
        <v>462690</v>
      </c>
      <c r="Y328" s="104" t="s">
        <v>920</v>
      </c>
      <c r="AC328" s="521"/>
    </row>
    <row r="329" spans="1:29" ht="12.75" customHeight="1" outlineLevel="2" x14ac:dyDescent="0.2">
      <c r="A329" s="495">
        <v>8</v>
      </c>
      <c r="B329" s="150">
        <v>51</v>
      </c>
      <c r="C329" s="129" t="s">
        <v>951</v>
      </c>
      <c r="D329" s="129" t="s">
        <v>530</v>
      </c>
      <c r="E329" s="184">
        <v>1021122</v>
      </c>
      <c r="F329" s="135" t="s">
        <v>792</v>
      </c>
      <c r="G329" s="143" t="s">
        <v>104</v>
      </c>
      <c r="H329" s="135" t="s">
        <v>9</v>
      </c>
      <c r="I329" s="129" t="s">
        <v>504</v>
      </c>
      <c r="J329" s="129"/>
      <c r="K329" s="129"/>
      <c r="L329" s="129"/>
      <c r="M329" s="141"/>
      <c r="N329" s="302">
        <f t="shared" si="533"/>
        <v>0</v>
      </c>
      <c r="O329" s="392">
        <v>4660</v>
      </c>
      <c r="P329" s="392">
        <v>4660</v>
      </c>
      <c r="Q329" s="616">
        <v>4660</v>
      </c>
      <c r="R329" s="392">
        <v>4524</v>
      </c>
      <c r="S329" s="132">
        <f t="shared" si="535"/>
        <v>0</v>
      </c>
      <c r="T329" s="132">
        <f t="shared" si="705"/>
        <v>0</v>
      </c>
      <c r="U329" s="132">
        <f t="shared" si="705"/>
        <v>0</v>
      </c>
      <c r="V329" s="132">
        <f t="shared" si="705"/>
        <v>0</v>
      </c>
      <c r="W329" s="132">
        <f t="shared" si="705"/>
        <v>0</v>
      </c>
      <c r="X329" s="132">
        <f t="shared" si="537"/>
        <v>0</v>
      </c>
      <c r="Y329" s="104" t="s">
        <v>532</v>
      </c>
      <c r="AC329" s="521"/>
    </row>
    <row r="330" spans="1:29" ht="12.75" customHeight="1" outlineLevel="2" x14ac:dyDescent="0.2">
      <c r="A330" s="495">
        <v>8</v>
      </c>
      <c r="B330" s="150">
        <v>52</v>
      </c>
      <c r="C330" s="156" t="s">
        <v>416</v>
      </c>
      <c r="D330" s="129" t="s">
        <v>684</v>
      </c>
      <c r="E330" s="184">
        <v>20256300</v>
      </c>
      <c r="F330" s="130" t="s">
        <v>817</v>
      </c>
      <c r="G330" s="143" t="s">
        <v>58</v>
      </c>
      <c r="H330" s="135" t="s">
        <v>8</v>
      </c>
      <c r="I330" s="129" t="s">
        <v>168</v>
      </c>
      <c r="J330" s="129">
        <v>1</v>
      </c>
      <c r="K330" s="129"/>
      <c r="L330" s="129"/>
      <c r="M330" s="141"/>
      <c r="N330" s="302">
        <f t="shared" si="533"/>
        <v>1</v>
      </c>
      <c r="O330" s="149">
        <v>4851</v>
      </c>
      <c r="P330" s="149">
        <v>4851</v>
      </c>
      <c r="Q330" s="619">
        <v>4851</v>
      </c>
      <c r="R330" s="149">
        <v>4710</v>
      </c>
      <c r="S330" s="132">
        <f t="shared" ref="S330" si="751">SUMPRODUCT(J330:M330,O330:R330)</f>
        <v>4851</v>
      </c>
      <c r="T330" s="132">
        <f t="shared" ref="T330" si="752">IF(O330&gt;prisgrense,J330*prisgrense,J330*O330)</f>
        <v>4832</v>
      </c>
      <c r="U330" s="132">
        <f t="shared" ref="U330" si="753">IF(P330&gt;prisgrense,K330*prisgrense,K330*P330)</f>
        <v>0</v>
      </c>
      <c r="V330" s="132">
        <f t="shared" ref="V330" si="754">IF(Q330&gt;prisgrense,L330*prisgrense,L330*Q330)</f>
        <v>0</v>
      </c>
      <c r="W330" s="132">
        <f t="shared" ref="W330" si="755">IF(R330&gt;prisgrense,M330*prisgrense,M330*R330)</f>
        <v>0</v>
      </c>
      <c r="X330" s="132">
        <f t="shared" ref="X330" si="756">SUM(T330:W330)</f>
        <v>4832</v>
      </c>
      <c r="Y330" s="104" t="s">
        <v>685</v>
      </c>
      <c r="AC330" s="521"/>
    </row>
    <row r="331" spans="1:29" ht="12.75" customHeight="1" outlineLevel="2" x14ac:dyDescent="0.2">
      <c r="A331" s="495">
        <v>8</v>
      </c>
      <c r="B331" s="150">
        <v>53</v>
      </c>
      <c r="C331" s="156" t="s">
        <v>416</v>
      </c>
      <c r="D331" s="129" t="s">
        <v>456</v>
      </c>
      <c r="E331" s="184">
        <v>20203000</v>
      </c>
      <c r="F331" s="130" t="s">
        <v>817</v>
      </c>
      <c r="G331" s="143" t="s">
        <v>58</v>
      </c>
      <c r="H331" s="135" t="s">
        <v>9</v>
      </c>
      <c r="I331" s="129" t="s">
        <v>504</v>
      </c>
      <c r="J331" s="129"/>
      <c r="K331" s="129"/>
      <c r="L331" s="129"/>
      <c r="M331" s="141"/>
      <c r="N331" s="302">
        <f t="shared" si="533"/>
        <v>0</v>
      </c>
      <c r="O331" s="149">
        <v>4870</v>
      </c>
      <c r="P331" s="149">
        <v>4870</v>
      </c>
      <c r="Q331" s="619">
        <v>4870</v>
      </c>
      <c r="R331" s="149">
        <v>4728</v>
      </c>
      <c r="S331" s="132">
        <f t="shared" si="535"/>
        <v>0</v>
      </c>
      <c r="T331" s="132">
        <f t="shared" si="705"/>
        <v>0</v>
      </c>
      <c r="U331" s="132">
        <f t="shared" si="705"/>
        <v>0</v>
      </c>
      <c r="V331" s="132">
        <f t="shared" si="705"/>
        <v>0</v>
      </c>
      <c r="W331" s="132">
        <f t="shared" si="705"/>
        <v>0</v>
      </c>
      <c r="X331" s="132">
        <f t="shared" si="537"/>
        <v>0</v>
      </c>
      <c r="Y331" s="104"/>
      <c r="AC331" s="521"/>
    </row>
    <row r="332" spans="1:29" ht="12.75" customHeight="1" outlineLevel="2" x14ac:dyDescent="0.2">
      <c r="A332" s="495">
        <v>8</v>
      </c>
      <c r="B332" s="150">
        <v>54</v>
      </c>
      <c r="C332" s="202" t="s">
        <v>142</v>
      </c>
      <c r="D332" s="129" t="s">
        <v>457</v>
      </c>
      <c r="E332" s="184" t="s">
        <v>458</v>
      </c>
      <c r="F332" s="135" t="s">
        <v>792</v>
      </c>
      <c r="G332" s="143" t="s">
        <v>104</v>
      </c>
      <c r="H332" s="135" t="s">
        <v>8</v>
      </c>
      <c r="I332" s="129" t="s">
        <v>68</v>
      </c>
      <c r="J332" s="129"/>
      <c r="K332" s="129"/>
      <c r="L332" s="129"/>
      <c r="M332" s="141"/>
      <c r="N332" s="302">
        <f t="shared" si="533"/>
        <v>0</v>
      </c>
      <c r="O332" s="392">
        <v>4660</v>
      </c>
      <c r="P332" s="392">
        <v>4660</v>
      </c>
      <c r="Q332" s="616">
        <v>4660</v>
      </c>
      <c r="R332" s="392">
        <v>4524</v>
      </c>
      <c r="S332" s="132">
        <f t="shared" si="535"/>
        <v>0</v>
      </c>
      <c r="T332" s="132">
        <f t="shared" si="705"/>
        <v>0</v>
      </c>
      <c r="U332" s="132">
        <f t="shared" si="705"/>
        <v>0</v>
      </c>
      <c r="V332" s="132">
        <f t="shared" si="705"/>
        <v>0</v>
      </c>
      <c r="W332" s="132">
        <f t="shared" si="705"/>
        <v>0</v>
      </c>
      <c r="X332" s="132">
        <f t="shared" si="537"/>
        <v>0</v>
      </c>
      <c r="Y332" s="104"/>
      <c r="AC332" s="521"/>
    </row>
    <row r="333" spans="1:29" ht="12.75" customHeight="1" outlineLevel="2" x14ac:dyDescent="0.2">
      <c r="A333" s="495">
        <v>8</v>
      </c>
      <c r="B333" s="150">
        <v>55</v>
      </c>
      <c r="C333" s="156" t="s">
        <v>416</v>
      </c>
      <c r="D333" s="129" t="s">
        <v>459</v>
      </c>
      <c r="E333" s="184">
        <v>20193000</v>
      </c>
      <c r="F333" s="130" t="s">
        <v>817</v>
      </c>
      <c r="G333" s="143" t="s">
        <v>58</v>
      </c>
      <c r="H333" s="135" t="s">
        <v>9</v>
      </c>
      <c r="I333" s="129" t="s">
        <v>504</v>
      </c>
      <c r="J333" s="129"/>
      <c r="K333" s="129"/>
      <c r="L333" s="129"/>
      <c r="M333" s="141"/>
      <c r="N333" s="302">
        <f t="shared" si="533"/>
        <v>0</v>
      </c>
      <c r="O333" s="149">
        <v>4870</v>
      </c>
      <c r="P333" s="149">
        <v>4870</v>
      </c>
      <c r="Q333" s="619">
        <v>4870</v>
      </c>
      <c r="R333" s="149">
        <v>4728</v>
      </c>
      <c r="S333" s="132">
        <f t="shared" si="535"/>
        <v>0</v>
      </c>
      <c r="T333" s="132">
        <f t="shared" si="705"/>
        <v>0</v>
      </c>
      <c r="U333" s="132">
        <f t="shared" si="705"/>
        <v>0</v>
      </c>
      <c r="V333" s="132">
        <f t="shared" si="705"/>
        <v>0</v>
      </c>
      <c r="W333" s="132">
        <f t="shared" si="705"/>
        <v>0</v>
      </c>
      <c r="X333" s="132">
        <f t="shared" si="537"/>
        <v>0</v>
      </c>
      <c r="Y333" s="104"/>
      <c r="AC333" s="521"/>
    </row>
    <row r="334" spans="1:29" s="152" customFormat="1" ht="12.75" customHeight="1" outlineLevel="2" x14ac:dyDescent="0.2">
      <c r="A334" s="495">
        <v>8</v>
      </c>
      <c r="B334" s="150">
        <v>56</v>
      </c>
      <c r="C334" s="156" t="s">
        <v>829</v>
      </c>
      <c r="D334" s="129" t="s">
        <v>831</v>
      </c>
      <c r="E334" s="184"/>
      <c r="F334" s="135" t="s">
        <v>108</v>
      </c>
      <c r="G334" s="143" t="s">
        <v>174</v>
      </c>
      <c r="H334" s="135" t="s">
        <v>8</v>
      </c>
      <c r="I334" s="129" t="s">
        <v>168</v>
      </c>
      <c r="J334" s="129">
        <v>21</v>
      </c>
      <c r="K334" s="129"/>
      <c r="L334" s="129"/>
      <c r="M334" s="141"/>
      <c r="N334" s="302">
        <f t="shared" ref="N334" si="757">SUM(J334:M334)</f>
        <v>21</v>
      </c>
      <c r="O334" s="392">
        <v>4328</v>
      </c>
      <c r="P334" s="392">
        <v>4328</v>
      </c>
      <c r="Q334" s="616">
        <v>4328</v>
      </c>
      <c r="R334" s="392">
        <v>4202</v>
      </c>
      <c r="S334" s="132">
        <f t="shared" ref="S334" si="758">SUMPRODUCT(J334:M334,O334:R334)</f>
        <v>90888</v>
      </c>
      <c r="T334" s="132">
        <f t="shared" ref="T334" si="759">IF(O334&gt;prisgrense,J334*prisgrense,J334*O334)</f>
        <v>90888</v>
      </c>
      <c r="U334" s="132">
        <f t="shared" ref="U334" si="760">IF(P334&gt;prisgrense,K334*prisgrense,K334*P334)</f>
        <v>0</v>
      </c>
      <c r="V334" s="132">
        <f t="shared" ref="V334" si="761">IF(Q334&gt;prisgrense,L334*prisgrense,L334*Q334)</f>
        <v>0</v>
      </c>
      <c r="W334" s="132">
        <f t="shared" ref="W334" si="762">IF(R334&gt;prisgrense,M334*prisgrense,M334*R334)</f>
        <v>0</v>
      </c>
      <c r="X334" s="132">
        <f t="shared" ref="X334" si="763">SUM(T334:W334)</f>
        <v>90888</v>
      </c>
      <c r="Y334" s="152" t="s">
        <v>848</v>
      </c>
      <c r="Z334" s="395"/>
      <c r="AC334" s="559"/>
    </row>
    <row r="335" spans="1:29" ht="12.75" customHeight="1" outlineLevel="2" x14ac:dyDescent="0.2">
      <c r="A335" s="495">
        <v>8</v>
      </c>
      <c r="B335" s="150">
        <v>57</v>
      </c>
      <c r="C335" s="129" t="s">
        <v>123</v>
      </c>
      <c r="D335" s="129" t="s">
        <v>461</v>
      </c>
      <c r="E335" s="184">
        <v>18676100</v>
      </c>
      <c r="F335" s="130" t="s">
        <v>817</v>
      </c>
      <c r="G335" s="143" t="s">
        <v>58</v>
      </c>
      <c r="H335" s="135" t="s">
        <v>8</v>
      </c>
      <c r="I335" s="129" t="s">
        <v>168</v>
      </c>
      <c r="J335" s="129">
        <v>4</v>
      </c>
      <c r="K335" s="129"/>
      <c r="L335" s="129"/>
      <c r="M335" s="141"/>
      <c r="N335" s="302">
        <f t="shared" ref="N335:N341" si="764">SUM(J335:M335)</f>
        <v>4</v>
      </c>
      <c r="O335" s="149">
        <v>3787</v>
      </c>
      <c r="P335" s="149">
        <v>3787</v>
      </c>
      <c r="Q335" s="619">
        <v>3787</v>
      </c>
      <c r="R335" s="149">
        <v>3677</v>
      </c>
      <c r="S335" s="132">
        <f t="shared" si="535"/>
        <v>15148</v>
      </c>
      <c r="T335" s="132">
        <f t="shared" si="705"/>
        <v>15148</v>
      </c>
      <c r="U335" s="132">
        <f t="shared" si="705"/>
        <v>0</v>
      </c>
      <c r="V335" s="132">
        <f t="shared" si="705"/>
        <v>0</v>
      </c>
      <c r="W335" s="132">
        <f t="shared" si="705"/>
        <v>0</v>
      </c>
      <c r="X335" s="132">
        <f t="shared" si="537"/>
        <v>15148</v>
      </c>
      <c r="Y335" s="104"/>
      <c r="AC335" s="521"/>
    </row>
    <row r="336" spans="1:29" ht="12.75" customHeight="1" outlineLevel="2" x14ac:dyDescent="0.2">
      <c r="A336" s="495">
        <v>8</v>
      </c>
      <c r="B336" s="150">
        <v>58</v>
      </c>
      <c r="C336" s="202" t="s">
        <v>142</v>
      </c>
      <c r="D336" s="129" t="s">
        <v>462</v>
      </c>
      <c r="E336" s="184" t="s">
        <v>463</v>
      </c>
      <c r="F336" s="135" t="s">
        <v>792</v>
      </c>
      <c r="G336" s="143" t="s">
        <v>104</v>
      </c>
      <c r="H336" s="135" t="s">
        <v>8</v>
      </c>
      <c r="I336" s="129" t="s">
        <v>68</v>
      </c>
      <c r="J336" s="129"/>
      <c r="K336" s="129"/>
      <c r="L336" s="129"/>
      <c r="M336" s="141"/>
      <c r="N336" s="302">
        <f t="shared" si="764"/>
        <v>0</v>
      </c>
      <c r="O336" s="392">
        <v>4660</v>
      </c>
      <c r="P336" s="392">
        <v>4660</v>
      </c>
      <c r="Q336" s="616">
        <v>4660</v>
      </c>
      <c r="R336" s="392">
        <v>4524</v>
      </c>
      <c r="S336" s="132">
        <f t="shared" si="535"/>
        <v>0</v>
      </c>
      <c r="T336" s="132">
        <f t="shared" si="705"/>
        <v>0</v>
      </c>
      <c r="U336" s="132">
        <f t="shared" si="705"/>
        <v>0</v>
      </c>
      <c r="V336" s="132">
        <f t="shared" si="705"/>
        <v>0</v>
      </c>
      <c r="W336" s="132">
        <f t="shared" si="705"/>
        <v>0</v>
      </c>
      <c r="X336" s="132">
        <f t="shared" si="537"/>
        <v>0</v>
      </c>
      <c r="Y336" s="104"/>
      <c r="AC336" s="521"/>
    </row>
    <row r="337" spans="1:215 16384:16384" ht="12.75" customHeight="1" outlineLevel="2" x14ac:dyDescent="0.2">
      <c r="A337" s="495">
        <v>8</v>
      </c>
      <c r="B337" s="150">
        <v>59</v>
      </c>
      <c r="C337" s="129" t="s">
        <v>123</v>
      </c>
      <c r="D337" s="129" t="s">
        <v>464</v>
      </c>
      <c r="E337" s="184">
        <v>18676000</v>
      </c>
      <c r="F337" s="130" t="s">
        <v>817</v>
      </c>
      <c r="G337" s="143" t="s">
        <v>58</v>
      </c>
      <c r="H337" s="135" t="s">
        <v>8</v>
      </c>
      <c r="I337" s="129" t="s">
        <v>128</v>
      </c>
      <c r="J337" s="129">
        <v>1</v>
      </c>
      <c r="K337" s="129"/>
      <c r="M337" s="141"/>
      <c r="N337" s="302">
        <f t="shared" si="764"/>
        <v>1</v>
      </c>
      <c r="O337" s="149">
        <v>3787</v>
      </c>
      <c r="P337" s="149">
        <v>3787</v>
      </c>
      <c r="Q337" s="619">
        <v>3787</v>
      </c>
      <c r="R337" s="149">
        <v>3677</v>
      </c>
      <c r="S337" s="132">
        <f t="shared" si="535"/>
        <v>3787</v>
      </c>
      <c r="T337" s="132">
        <f t="shared" si="705"/>
        <v>3787</v>
      </c>
      <c r="U337" s="132">
        <f t="shared" si="705"/>
        <v>0</v>
      </c>
      <c r="V337" s="132">
        <f t="shared" si="705"/>
        <v>0</v>
      </c>
      <c r="W337" s="132">
        <f t="shared" si="705"/>
        <v>0</v>
      </c>
      <c r="X337" s="132">
        <f t="shared" si="537"/>
        <v>3787</v>
      </c>
      <c r="Y337" s="104"/>
      <c r="AC337" s="521"/>
    </row>
    <row r="338" spans="1:215 16384:16384" ht="12.75" customHeight="1" outlineLevel="2" x14ac:dyDescent="0.2">
      <c r="A338" s="495">
        <v>8</v>
      </c>
      <c r="B338" s="150">
        <v>60</v>
      </c>
      <c r="C338" s="129" t="s">
        <v>123</v>
      </c>
      <c r="D338" s="129" t="s">
        <v>465</v>
      </c>
      <c r="E338" s="184">
        <v>18841500</v>
      </c>
      <c r="F338" s="130" t="s">
        <v>817</v>
      </c>
      <c r="G338" s="143" t="s">
        <v>58</v>
      </c>
      <c r="H338" s="135" t="s">
        <v>8</v>
      </c>
      <c r="I338" s="129" t="s">
        <v>68</v>
      </c>
      <c r="J338" s="129">
        <v>21</v>
      </c>
      <c r="K338" s="129"/>
      <c r="L338" s="129"/>
      <c r="M338" s="141"/>
      <c r="N338" s="302">
        <f t="shared" si="764"/>
        <v>21</v>
      </c>
      <c r="O338" s="149">
        <v>3787</v>
      </c>
      <c r="P338" s="149">
        <v>3787</v>
      </c>
      <c r="Q338" s="619">
        <v>3787</v>
      </c>
      <c r="R338" s="149">
        <v>3677</v>
      </c>
      <c r="S338" s="132">
        <f t="shared" si="535"/>
        <v>79527</v>
      </c>
      <c r="T338" s="132">
        <f t="shared" si="705"/>
        <v>79527</v>
      </c>
      <c r="U338" s="132">
        <f t="shared" si="705"/>
        <v>0</v>
      </c>
      <c r="V338" s="132">
        <f t="shared" si="705"/>
        <v>0</v>
      </c>
      <c r="W338" s="132">
        <f t="shared" si="705"/>
        <v>0</v>
      </c>
      <c r="X338" s="132">
        <f t="shared" si="537"/>
        <v>79527</v>
      </c>
      <c r="Y338" s="104"/>
      <c r="AC338" s="521"/>
    </row>
    <row r="339" spans="1:215 16384:16384" ht="12.75" customHeight="1" outlineLevel="2" x14ac:dyDescent="0.2">
      <c r="A339" s="495">
        <v>8</v>
      </c>
      <c r="B339" s="150">
        <v>61</v>
      </c>
      <c r="C339" s="156"/>
      <c r="D339" s="129" t="s">
        <v>908</v>
      </c>
      <c r="E339" s="184"/>
      <c r="F339" s="135" t="s">
        <v>108</v>
      </c>
      <c r="G339" s="135" t="s">
        <v>174</v>
      </c>
      <c r="H339" s="135" t="s">
        <v>8</v>
      </c>
      <c r="I339" s="129" t="s">
        <v>68</v>
      </c>
      <c r="J339" s="129">
        <v>257</v>
      </c>
      <c r="K339" s="129"/>
      <c r="L339" s="129"/>
      <c r="M339" s="141"/>
      <c r="N339" s="302">
        <f t="shared" ref="N339" si="765">SUM(J339:M339)</f>
        <v>257</v>
      </c>
      <c r="O339" s="392">
        <v>4328</v>
      </c>
      <c r="P339" s="392">
        <v>4328</v>
      </c>
      <c r="Q339" s="616">
        <v>4328</v>
      </c>
      <c r="R339" s="392">
        <v>4202</v>
      </c>
      <c r="S339" s="132">
        <f t="shared" ref="S339" si="766">SUMPRODUCT(J339:M339,O339:R339)</f>
        <v>1112296</v>
      </c>
      <c r="T339" s="132">
        <f t="shared" ref="T339" si="767">IF(O339&gt;prisgrense,J339*prisgrense,J339*O339)</f>
        <v>1112296</v>
      </c>
      <c r="U339" s="132">
        <f t="shared" ref="U339" si="768">IF(P339&gt;prisgrense,K339*prisgrense,K339*P339)</f>
        <v>0</v>
      </c>
      <c r="V339" s="132">
        <f t="shared" ref="V339" si="769">IF(Q339&gt;prisgrense,L339*prisgrense,L339*Q339)</f>
        <v>0</v>
      </c>
      <c r="W339" s="132">
        <f t="shared" ref="W339" si="770">IF(R339&gt;prisgrense,M339*prisgrense,M339*R339)</f>
        <v>0</v>
      </c>
      <c r="X339" s="132">
        <f t="shared" ref="X339" si="771">SUM(T339:W339)</f>
        <v>1112296</v>
      </c>
      <c r="Y339" s="152" t="s">
        <v>909</v>
      </c>
      <c r="AC339" s="521"/>
    </row>
    <row r="340" spans="1:215 16384:16384" s="152" customFormat="1" ht="12.75" customHeight="1" outlineLevel="2" x14ac:dyDescent="0.2">
      <c r="A340" s="495">
        <v>8</v>
      </c>
      <c r="B340" s="150">
        <v>62</v>
      </c>
      <c r="C340" s="156" t="s">
        <v>829</v>
      </c>
      <c r="D340" s="129" t="s">
        <v>832</v>
      </c>
      <c r="E340" s="184"/>
      <c r="F340" s="130" t="s">
        <v>108</v>
      </c>
      <c r="G340" s="143" t="s">
        <v>174</v>
      </c>
      <c r="H340" s="143" t="s">
        <v>9</v>
      </c>
      <c r="I340" s="129" t="s">
        <v>504</v>
      </c>
      <c r="J340" s="129"/>
      <c r="K340" s="129"/>
      <c r="L340" s="129"/>
      <c r="M340" s="141"/>
      <c r="N340" s="302">
        <f t="shared" ref="N340" si="772">SUM(J340:M340)</f>
        <v>0</v>
      </c>
      <c r="O340" s="392">
        <v>4870</v>
      </c>
      <c r="P340" s="392">
        <v>4870</v>
      </c>
      <c r="Q340" s="616">
        <v>4870</v>
      </c>
      <c r="R340" s="392">
        <v>4728</v>
      </c>
      <c r="S340" s="132">
        <f t="shared" ref="S340" si="773">SUMPRODUCT(J340:M340,O340:R340)</f>
        <v>0</v>
      </c>
      <c r="T340" s="132">
        <f t="shared" ref="T340" si="774">IF(O340&gt;prisgrense,J340*prisgrense,J340*O340)</f>
        <v>0</v>
      </c>
      <c r="U340" s="132">
        <f t="shared" ref="U340" si="775">IF(P340&gt;prisgrense,K340*prisgrense,K340*P340)</f>
        <v>0</v>
      </c>
      <c r="V340" s="132">
        <f t="shared" ref="V340" si="776">IF(Q340&gt;prisgrense,L340*prisgrense,L340*Q340)</f>
        <v>0</v>
      </c>
      <c r="W340" s="132">
        <f t="shared" ref="W340" si="777">IF(R340&gt;prisgrense,M340*prisgrense,M340*R340)</f>
        <v>0</v>
      </c>
      <c r="X340" s="132">
        <f t="shared" ref="X340" si="778">SUM(T340:W340)</f>
        <v>0</v>
      </c>
      <c r="Y340" s="152" t="s">
        <v>848</v>
      </c>
      <c r="Z340" s="395"/>
      <c r="AC340" s="559"/>
    </row>
    <row r="341" spans="1:215 16384:16384" ht="12.75" customHeight="1" outlineLevel="2" x14ac:dyDescent="0.2">
      <c r="A341" s="495">
        <v>8</v>
      </c>
      <c r="B341" s="150">
        <v>63</v>
      </c>
      <c r="C341" s="129" t="s">
        <v>123</v>
      </c>
      <c r="D341" s="129" t="s">
        <v>466</v>
      </c>
      <c r="E341" s="184">
        <v>18676200</v>
      </c>
      <c r="F341" s="130" t="s">
        <v>817</v>
      </c>
      <c r="G341" s="143" t="s">
        <v>58</v>
      </c>
      <c r="H341" s="135" t="s">
        <v>8</v>
      </c>
      <c r="I341" s="129" t="s">
        <v>168</v>
      </c>
      <c r="J341" s="129">
        <v>4</v>
      </c>
      <c r="K341" s="129"/>
      <c r="L341" s="129"/>
      <c r="M341" s="141"/>
      <c r="N341" s="302">
        <f t="shared" si="764"/>
        <v>4</v>
      </c>
      <c r="O341" s="149">
        <v>3787</v>
      </c>
      <c r="P341" s="149">
        <v>3787</v>
      </c>
      <c r="Q341" s="619">
        <v>3787</v>
      </c>
      <c r="R341" s="149">
        <v>3677</v>
      </c>
      <c r="S341" s="132">
        <f t="shared" si="535"/>
        <v>15148</v>
      </c>
      <c r="T341" s="132">
        <f t="shared" si="705"/>
        <v>15148</v>
      </c>
      <c r="U341" s="132">
        <f t="shared" si="705"/>
        <v>0</v>
      </c>
      <c r="V341" s="132">
        <f t="shared" si="705"/>
        <v>0</v>
      </c>
      <c r="W341" s="132">
        <f t="shared" si="705"/>
        <v>0</v>
      </c>
      <c r="X341" s="132">
        <f t="shared" si="537"/>
        <v>15148</v>
      </c>
      <c r="Y341" s="104"/>
      <c r="AC341" s="521"/>
    </row>
    <row r="342" spans="1:215 16384:16384" ht="12.75" customHeight="1" outlineLevel="1" x14ac:dyDescent="0.2">
      <c r="A342" s="498" t="s">
        <v>559</v>
      </c>
      <c r="B342" s="181"/>
      <c r="C342" s="203"/>
      <c r="D342" s="154" t="s">
        <v>415</v>
      </c>
      <c r="E342" s="320"/>
      <c r="F342" s="182"/>
      <c r="G342" s="183"/>
      <c r="H342" s="183"/>
      <c r="I342" s="154"/>
      <c r="J342" s="172">
        <f>SUBTOTAL(9,J274:J341)</f>
        <v>6375</v>
      </c>
      <c r="K342" s="172">
        <f>SUBTOTAL(9,K274:K341)</f>
        <v>0</v>
      </c>
      <c r="L342" s="172">
        <f>SUBTOTAL(9,L274:L341)</f>
        <v>0</v>
      </c>
      <c r="M342" s="172">
        <f>SUBTOTAL(9,M274:M341)</f>
        <v>0</v>
      </c>
      <c r="N342" s="348">
        <f>SUBTOTAL(9,N274:N341)</f>
        <v>6375</v>
      </c>
      <c r="O342" s="172"/>
      <c r="P342" s="154"/>
      <c r="Q342" s="172"/>
      <c r="R342" s="172"/>
      <c r="S342" s="400">
        <f t="shared" ref="S342:X342" si="779">SUBTOTAL(9,S274:S341)</f>
        <v>30431631</v>
      </c>
      <c r="T342" s="400">
        <f t="shared" si="779"/>
        <v>30377500</v>
      </c>
      <c r="U342" s="400">
        <f t="shared" si="779"/>
        <v>0</v>
      </c>
      <c r="V342" s="400">
        <f t="shared" si="779"/>
        <v>0</v>
      </c>
      <c r="W342" s="400">
        <f t="shared" si="779"/>
        <v>0</v>
      </c>
      <c r="X342" s="400">
        <f t="shared" si="779"/>
        <v>30377500</v>
      </c>
      <c r="Y342" s="104"/>
      <c r="AC342" s="521"/>
      <c r="XFD342" s="104">
        <f>SUBTOTAL(9,XFD274:XFD341)</f>
        <v>0</v>
      </c>
    </row>
    <row r="343" spans="1:215 16384:16384" ht="12.75" customHeight="1" outlineLevel="1" x14ac:dyDescent="0.2">
      <c r="A343" s="493"/>
      <c r="B343" s="181"/>
      <c r="C343" s="203"/>
      <c r="D343" s="154"/>
      <c r="E343" s="320"/>
      <c r="F343" s="182"/>
      <c r="G343" s="183"/>
      <c r="H343" s="183"/>
      <c r="I343" s="154"/>
      <c r="J343" s="154"/>
      <c r="K343" s="154"/>
      <c r="L343" s="154"/>
      <c r="M343" s="172"/>
      <c r="N343" s="303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04"/>
      <c r="AC343" s="521"/>
    </row>
    <row r="344" spans="1:215 16384:16384" ht="12.75" customHeight="1" outlineLevel="2" x14ac:dyDescent="0.2">
      <c r="A344" s="493"/>
      <c r="B344" s="181"/>
      <c r="C344" s="203"/>
      <c r="D344" s="154"/>
      <c r="E344" s="320"/>
      <c r="F344" s="182"/>
      <c r="G344" s="183"/>
      <c r="H344" s="183"/>
      <c r="I344" s="154"/>
      <c r="J344" s="154"/>
      <c r="K344" s="154"/>
      <c r="L344" s="154"/>
      <c r="M344" s="172"/>
      <c r="N344" s="303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04"/>
      <c r="AC344" s="521"/>
    </row>
    <row r="345" spans="1:215 16384:16384" ht="15" outlineLevel="2" x14ac:dyDescent="0.25">
      <c r="A345" s="493"/>
      <c r="B345" s="181"/>
      <c r="C345" s="203"/>
      <c r="D345" s="337" t="s">
        <v>569</v>
      </c>
      <c r="E345" s="320"/>
      <c r="F345" s="182"/>
      <c r="G345" s="183"/>
      <c r="H345" s="183"/>
      <c r="I345" s="154"/>
      <c r="J345" s="154"/>
      <c r="K345" s="154"/>
      <c r="L345" s="154"/>
      <c r="M345" s="172"/>
      <c r="N345" s="303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04"/>
      <c r="AC345" s="521"/>
    </row>
    <row r="346" spans="1:215 16384:16384" ht="12.75" customHeight="1" outlineLevel="2" x14ac:dyDescent="0.2">
      <c r="A346" s="495" t="s">
        <v>557</v>
      </c>
      <c r="B346" s="150"/>
      <c r="C346" s="129" t="s">
        <v>180</v>
      </c>
      <c r="D346" s="129" t="s">
        <v>185</v>
      </c>
      <c r="E346" s="356">
        <v>1010204</v>
      </c>
      <c r="F346" s="130" t="s">
        <v>746</v>
      </c>
      <c r="G346" s="143" t="s">
        <v>105</v>
      </c>
      <c r="H346" s="133" t="s">
        <v>8</v>
      </c>
      <c r="I346" s="134" t="s">
        <v>68</v>
      </c>
      <c r="J346" s="134"/>
      <c r="K346" s="134"/>
      <c r="L346" s="134"/>
      <c r="M346" s="177"/>
      <c r="N346" s="302">
        <f>SUM(J346:M346)</f>
        <v>0</v>
      </c>
      <c r="O346" s="146">
        <v>4583</v>
      </c>
      <c r="P346" s="146">
        <v>4583</v>
      </c>
      <c r="Q346" s="146">
        <v>4583</v>
      </c>
      <c r="R346" s="146">
        <v>4583</v>
      </c>
      <c r="S346" s="132">
        <f>SUMPRODUCT(J346:M346,O346:R346)</f>
        <v>0</v>
      </c>
      <c r="T346" s="132">
        <f>IF(O346&gt;prisgrense,J346*prisgrense,J346*O346)</f>
        <v>0</v>
      </c>
      <c r="U346" s="132">
        <f>IF(P346&gt;prisgrense,K346*prisgrense,K346*P346)</f>
        <v>0</v>
      </c>
      <c r="V346" s="132">
        <f>IF(Q346&gt;prisgrense,L346*prisgrense,L346*Q346)</f>
        <v>0</v>
      </c>
      <c r="W346" s="132">
        <f>IF(R346&gt;prisgrense,M346*prisgrense,M346*R346)</f>
        <v>0</v>
      </c>
      <c r="X346" s="132">
        <f>SUM(T346:W346)</f>
        <v>0</v>
      </c>
      <c r="Y346" s="104" t="s">
        <v>916</v>
      </c>
      <c r="Z346" s="393">
        <v>4</v>
      </c>
      <c r="AC346" s="521"/>
    </row>
    <row r="347" spans="1:215 16384:16384" ht="12.75" customHeight="1" outlineLevel="2" x14ac:dyDescent="0.2">
      <c r="A347" s="495" t="s">
        <v>557</v>
      </c>
      <c r="B347" s="150"/>
      <c r="C347" s="156"/>
      <c r="D347" s="129" t="s">
        <v>492</v>
      </c>
      <c r="E347" s="184">
        <v>1010103</v>
      </c>
      <c r="F347" s="130" t="s">
        <v>746</v>
      </c>
      <c r="G347" s="143" t="s">
        <v>105</v>
      </c>
      <c r="H347" s="143" t="s">
        <v>8</v>
      </c>
      <c r="I347" s="129" t="s">
        <v>68</v>
      </c>
      <c r="J347" s="129"/>
      <c r="K347" s="129"/>
      <c r="L347" s="129"/>
      <c r="M347" s="177"/>
      <c r="N347" s="302">
        <f t="shared" ref="N347" si="780">SUM(J347:M347)</f>
        <v>0</v>
      </c>
      <c r="O347" s="146">
        <v>3722</v>
      </c>
      <c r="P347" s="146">
        <v>3722</v>
      </c>
      <c r="Q347" s="146">
        <v>3722</v>
      </c>
      <c r="R347" s="146">
        <v>3722</v>
      </c>
      <c r="S347" s="132">
        <f t="shared" ref="S347" si="781">SUMPRODUCT(J347:M347,O347:R347)</f>
        <v>0</v>
      </c>
      <c r="T347" s="132">
        <f t="shared" ref="T347:W347" si="782">IF(O347&gt;prisgrense,J347*prisgrense,J347*O347)</f>
        <v>0</v>
      </c>
      <c r="U347" s="132">
        <f t="shared" si="782"/>
        <v>0</v>
      </c>
      <c r="V347" s="132">
        <f t="shared" si="782"/>
        <v>0</v>
      </c>
      <c r="W347" s="132">
        <f t="shared" si="782"/>
        <v>0</v>
      </c>
      <c r="X347" s="132">
        <f>SUM(T347:W347)</f>
        <v>0</v>
      </c>
      <c r="Y347" s="104"/>
      <c r="AC347" s="521"/>
    </row>
    <row r="348" spans="1:215 16384:16384" s="152" customFormat="1" ht="12.75" customHeight="1" outlineLevel="2" x14ac:dyDescent="0.2">
      <c r="A348" s="495" t="s">
        <v>557</v>
      </c>
      <c r="B348" s="150"/>
      <c r="C348" s="129" t="s">
        <v>416</v>
      </c>
      <c r="D348" s="129" t="s">
        <v>440</v>
      </c>
      <c r="E348" s="184">
        <v>19078800</v>
      </c>
      <c r="F348" s="130" t="s">
        <v>817</v>
      </c>
      <c r="G348" s="143" t="s">
        <v>58</v>
      </c>
      <c r="H348" s="135" t="s">
        <v>8</v>
      </c>
      <c r="I348" s="129" t="s">
        <v>68</v>
      </c>
      <c r="J348" s="129"/>
      <c r="K348" s="129"/>
      <c r="L348" s="129"/>
      <c r="M348" s="141"/>
      <c r="N348" s="302">
        <f>SUM(J348:M348)</f>
        <v>0</v>
      </c>
      <c r="O348" s="149">
        <v>4710</v>
      </c>
      <c r="P348" s="149">
        <v>4710</v>
      </c>
      <c r="Q348" s="149">
        <v>4710</v>
      </c>
      <c r="R348" s="149">
        <v>4710</v>
      </c>
      <c r="S348" s="132">
        <f>SUMPRODUCT(J348:M348,O348:R348)</f>
        <v>0</v>
      </c>
      <c r="T348" s="132">
        <f t="shared" ref="T348:W349" si="783">IF(O348&gt;prisgrense,J348*prisgrense,J348*O348)</f>
        <v>0</v>
      </c>
      <c r="U348" s="132">
        <f t="shared" si="783"/>
        <v>0</v>
      </c>
      <c r="V348" s="132">
        <f t="shared" si="783"/>
        <v>0</v>
      </c>
      <c r="W348" s="132">
        <f t="shared" si="783"/>
        <v>0</v>
      </c>
      <c r="X348" s="132">
        <f>SUM(T348:W348)</f>
        <v>0</v>
      </c>
      <c r="Y348" s="157" t="s">
        <v>958</v>
      </c>
      <c r="Z348" s="395">
        <v>8</v>
      </c>
      <c r="AC348" s="559"/>
    </row>
    <row r="349" spans="1:215 16384:16384" s="152" customFormat="1" ht="12.75" customHeight="1" outlineLevel="2" x14ac:dyDescent="0.2">
      <c r="A349" s="495" t="s">
        <v>557</v>
      </c>
      <c r="B349" s="150"/>
      <c r="C349" s="156" t="s">
        <v>416</v>
      </c>
      <c r="D349" s="129" t="s">
        <v>439</v>
      </c>
      <c r="E349" s="184">
        <v>19396900</v>
      </c>
      <c r="F349" s="130" t="s">
        <v>817</v>
      </c>
      <c r="G349" s="143" t="s">
        <v>58</v>
      </c>
      <c r="H349" s="135" t="s">
        <v>8</v>
      </c>
      <c r="I349" s="129" t="s">
        <v>68</v>
      </c>
      <c r="J349" s="129"/>
      <c r="K349" s="129"/>
      <c r="L349" s="129"/>
      <c r="M349" s="141"/>
      <c r="N349" s="302">
        <f>SUM(J349:M349)</f>
        <v>0</v>
      </c>
      <c r="O349" s="149">
        <v>4710</v>
      </c>
      <c r="P349" s="149">
        <v>4710</v>
      </c>
      <c r="Q349" s="149">
        <v>4710</v>
      </c>
      <c r="R349" s="149">
        <v>4710</v>
      </c>
      <c r="S349" s="132">
        <f>SUMPRODUCT(J349:M349,O349:R349)</f>
        <v>0</v>
      </c>
      <c r="T349" s="132">
        <f t="shared" si="783"/>
        <v>0</v>
      </c>
      <c r="U349" s="132">
        <f t="shared" si="783"/>
        <v>0</v>
      </c>
      <c r="V349" s="132">
        <f t="shared" si="783"/>
        <v>0</v>
      </c>
      <c r="W349" s="132">
        <f t="shared" si="783"/>
        <v>0</v>
      </c>
      <c r="X349" s="132">
        <f>SUM(T349:W349)</f>
        <v>0</v>
      </c>
      <c r="Y349" s="157" t="s">
        <v>958</v>
      </c>
      <c r="Z349" s="395">
        <v>8</v>
      </c>
      <c r="AC349" s="559"/>
    </row>
    <row r="350" spans="1:215 16384:16384" s="139" customFormat="1" ht="12.75" customHeight="1" outlineLevel="2" x14ac:dyDescent="0.2">
      <c r="A350" s="495" t="s">
        <v>557</v>
      </c>
      <c r="B350" s="150"/>
      <c r="C350" s="129" t="s">
        <v>266</v>
      </c>
      <c r="D350" s="129" t="s">
        <v>268</v>
      </c>
      <c r="E350" s="184">
        <v>19397400</v>
      </c>
      <c r="F350" s="130" t="s">
        <v>817</v>
      </c>
      <c r="G350" s="137" t="s">
        <v>58</v>
      </c>
      <c r="H350" s="136" t="s">
        <v>8</v>
      </c>
      <c r="I350" s="134" t="s">
        <v>68</v>
      </c>
      <c r="J350" s="134"/>
      <c r="K350" s="134"/>
      <c r="L350" s="134"/>
      <c r="M350" s="177"/>
      <c r="N350" s="302">
        <f t="shared" ref="N350" si="784">SUM(J350:M350)</f>
        <v>0</v>
      </c>
      <c r="O350" s="149">
        <v>4650</v>
      </c>
      <c r="P350" s="149">
        <v>4650</v>
      </c>
      <c r="Q350" s="149">
        <v>4650</v>
      </c>
      <c r="R350" s="149">
        <v>4650</v>
      </c>
      <c r="S350" s="132">
        <f t="shared" ref="S350" si="785">SUMPRODUCT(J350:M350,O350:R350)</f>
        <v>0</v>
      </c>
      <c r="T350" s="132">
        <f t="shared" ref="T350:W350" si="786">IF(O350&gt;prisgrense,J350*prisgrense,J350*O350)</f>
        <v>0</v>
      </c>
      <c r="U350" s="132">
        <f t="shared" si="786"/>
        <v>0</v>
      </c>
      <c r="V350" s="132">
        <f t="shared" si="786"/>
        <v>0</v>
      </c>
      <c r="W350" s="132">
        <f t="shared" si="786"/>
        <v>0</v>
      </c>
      <c r="X350" s="132">
        <f t="shared" ref="X350" si="787">SUM(T350:W350)</f>
        <v>0</v>
      </c>
      <c r="Y350" s="139" t="s">
        <v>761</v>
      </c>
      <c r="Z350" s="394">
        <v>1</v>
      </c>
      <c r="AA350" s="104"/>
      <c r="AB350" s="104"/>
      <c r="AC350" s="521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 s="104"/>
      <c r="BE350" s="104"/>
      <c r="BF350" s="104"/>
      <c r="BG350" s="104"/>
      <c r="BH350" s="104"/>
      <c r="BI350" s="104"/>
      <c r="BJ350" s="104"/>
      <c r="BK350" s="104"/>
      <c r="BL350" s="104"/>
      <c r="BM350" s="104"/>
      <c r="BN350" s="104"/>
      <c r="BO350" s="104"/>
      <c r="BP350" s="104"/>
      <c r="BQ350" s="104"/>
      <c r="BR350" s="104"/>
      <c r="BS350" s="104"/>
      <c r="BT350" s="104"/>
      <c r="BU350" s="104"/>
      <c r="BV350" s="104"/>
      <c r="BW350" s="104"/>
      <c r="BX350" s="104"/>
      <c r="BY350" s="104"/>
      <c r="BZ350" s="104"/>
      <c r="CA350" s="104"/>
      <c r="CB350" s="104"/>
      <c r="CC350" s="104"/>
      <c r="CD350" s="104"/>
      <c r="CE350" s="104"/>
      <c r="CF350" s="104"/>
      <c r="CG350" s="104"/>
      <c r="CH350" s="104"/>
      <c r="CI350" s="104"/>
      <c r="CJ350" s="104"/>
      <c r="CK350" s="104"/>
      <c r="CL350" s="104"/>
      <c r="CM350" s="104"/>
      <c r="CN350" s="104"/>
      <c r="CO350" s="104"/>
      <c r="CP350" s="104"/>
      <c r="CQ350" s="104"/>
      <c r="CR350" s="104"/>
      <c r="CS350" s="104"/>
      <c r="CT350" s="104"/>
      <c r="CU350" s="104"/>
      <c r="CV350" s="104"/>
      <c r="CW350" s="104"/>
      <c r="CX350" s="104"/>
      <c r="CY350" s="104"/>
      <c r="CZ350" s="104"/>
      <c r="DA350" s="104"/>
      <c r="DB350" s="104"/>
      <c r="DC350" s="104"/>
      <c r="DD350" s="104"/>
      <c r="DE350" s="104"/>
      <c r="DF350" s="104"/>
      <c r="DG350" s="104"/>
      <c r="DH350" s="104"/>
      <c r="DI350" s="104"/>
      <c r="DJ350" s="104"/>
      <c r="DK350" s="104"/>
      <c r="DL350" s="104"/>
      <c r="DM350" s="104"/>
      <c r="DN350" s="104"/>
      <c r="DO350" s="104"/>
      <c r="DP350" s="104"/>
      <c r="DQ350" s="104"/>
      <c r="DR350" s="104"/>
      <c r="DS350" s="104"/>
      <c r="DT350" s="104"/>
      <c r="DU350" s="104"/>
      <c r="DV350" s="104"/>
      <c r="DW350" s="104"/>
      <c r="DX350" s="104"/>
      <c r="DY350" s="104"/>
      <c r="DZ350" s="104"/>
      <c r="EA350" s="104"/>
      <c r="EB350" s="104"/>
      <c r="EC350" s="104"/>
      <c r="ED350" s="104"/>
      <c r="EE350" s="104"/>
      <c r="EF350" s="104"/>
      <c r="EG350" s="104"/>
      <c r="EH350" s="104"/>
      <c r="EI350" s="104"/>
      <c r="EJ350" s="104"/>
      <c r="EK350" s="104"/>
      <c r="EL350" s="104"/>
      <c r="EM350" s="104"/>
      <c r="EN350" s="104"/>
      <c r="EO350" s="104"/>
      <c r="EP350" s="104"/>
      <c r="EQ350" s="104"/>
      <c r="ER350" s="104"/>
      <c r="ES350" s="104"/>
      <c r="ET350" s="104"/>
      <c r="EU350" s="104"/>
      <c r="EV350" s="104"/>
      <c r="EW350" s="104"/>
      <c r="EX350" s="104"/>
      <c r="EY350" s="104"/>
      <c r="EZ350" s="104"/>
      <c r="FA350" s="104"/>
      <c r="FB350" s="104"/>
      <c r="FC350" s="104"/>
      <c r="FD350" s="104"/>
      <c r="FE350" s="104"/>
      <c r="FF350" s="104"/>
      <c r="FG350" s="104"/>
      <c r="FH350" s="104"/>
      <c r="FI350" s="104"/>
      <c r="FJ350" s="104"/>
      <c r="FK350" s="104"/>
      <c r="FL350" s="104"/>
      <c r="FM350" s="104"/>
      <c r="FN350" s="104"/>
      <c r="FO350" s="104"/>
      <c r="FP350" s="104"/>
      <c r="FQ350" s="104"/>
      <c r="FR350" s="104"/>
      <c r="FS350" s="104"/>
      <c r="FT350" s="104"/>
      <c r="FU350" s="104"/>
      <c r="FV350" s="104"/>
      <c r="FW350" s="104"/>
      <c r="FX350" s="104"/>
      <c r="FY350" s="104"/>
      <c r="FZ350" s="104"/>
      <c r="GA350" s="104"/>
      <c r="GB350" s="104"/>
      <c r="GC350" s="104"/>
      <c r="GD350" s="104"/>
      <c r="GE350" s="104"/>
      <c r="GF350" s="104"/>
      <c r="GG350" s="104"/>
      <c r="GH350" s="104"/>
      <c r="GI350" s="104"/>
      <c r="GJ350" s="104"/>
      <c r="GK350" s="104"/>
      <c r="GL350" s="104"/>
      <c r="GM350" s="104"/>
      <c r="GN350" s="104"/>
      <c r="GO350" s="104"/>
      <c r="GP350" s="104"/>
      <c r="GQ350" s="104"/>
      <c r="GR350" s="104"/>
      <c r="GS350" s="104"/>
      <c r="GT350" s="104"/>
      <c r="GU350" s="104"/>
      <c r="GV350" s="104"/>
      <c r="GW350" s="104"/>
      <c r="GX350" s="104"/>
      <c r="GY350" s="104"/>
      <c r="GZ350" s="104"/>
      <c r="HA350" s="104"/>
      <c r="HB350" s="104"/>
      <c r="HC350" s="104"/>
      <c r="HD350" s="104"/>
      <c r="HE350" s="104"/>
      <c r="HF350" s="104"/>
      <c r="HG350" s="104"/>
    </row>
    <row r="351" spans="1:215 16384:16384" ht="12.75" customHeight="1" outlineLevel="2" x14ac:dyDescent="0.2">
      <c r="A351" s="495" t="s">
        <v>557</v>
      </c>
      <c r="B351" s="150"/>
      <c r="C351" s="129" t="s">
        <v>333</v>
      </c>
      <c r="D351" s="129" t="s">
        <v>334</v>
      </c>
      <c r="E351" s="184">
        <v>19190100</v>
      </c>
      <c r="F351" s="130" t="s">
        <v>817</v>
      </c>
      <c r="G351" s="143" t="s">
        <v>58</v>
      </c>
      <c r="H351" s="133" t="s">
        <v>8</v>
      </c>
      <c r="I351" s="134" t="s">
        <v>128</v>
      </c>
      <c r="J351" s="134">
        <v>2</v>
      </c>
      <c r="K351" s="134"/>
      <c r="L351" s="134"/>
      <c r="M351" s="177"/>
      <c r="N351" s="302">
        <f t="shared" ref="N351:N372" si="788">SUM(J351:M351)</f>
        <v>2</v>
      </c>
      <c r="O351" s="149">
        <v>4500</v>
      </c>
      <c r="P351" s="149">
        <v>4500</v>
      </c>
      <c r="Q351" s="149">
        <v>4500</v>
      </c>
      <c r="R351" s="149">
        <v>4500</v>
      </c>
      <c r="S351" s="132">
        <f t="shared" ref="S351:S372" si="789">SUMPRODUCT(J351:M351,O351:R351)</f>
        <v>9000</v>
      </c>
      <c r="T351" s="132">
        <f t="shared" ref="T351:T357" si="790">IF(O351&gt;prisgrense,J351*prisgrense,J351*O351)</f>
        <v>9000</v>
      </c>
      <c r="U351" s="132">
        <f t="shared" ref="U351:U357" si="791">IF(P351&gt;prisgrense,K351*prisgrense,K351*P351)</f>
        <v>0</v>
      </c>
      <c r="V351" s="132">
        <f t="shared" ref="V351:V357" si="792">IF(Q351&gt;prisgrense,L351*prisgrense,L351*Q351)</f>
        <v>0</v>
      </c>
      <c r="W351" s="132">
        <f t="shared" ref="W351:W357" si="793">IF(R351&gt;prisgrense,M351*prisgrense,M351*R351)</f>
        <v>0</v>
      </c>
      <c r="X351" s="132">
        <f t="shared" ref="X351:X372" si="794">SUM(T351:W351)</f>
        <v>9000</v>
      </c>
      <c r="Y351" s="104" t="s">
        <v>589</v>
      </c>
      <c r="AC351" s="521"/>
    </row>
    <row r="352" spans="1:215 16384:16384" ht="12.75" customHeight="1" outlineLevel="2" x14ac:dyDescent="0.2">
      <c r="A352" s="495" t="s">
        <v>557</v>
      </c>
      <c r="B352" s="150"/>
      <c r="C352" s="156"/>
      <c r="D352" s="129" t="s">
        <v>494</v>
      </c>
      <c r="E352" s="184"/>
      <c r="F352" s="130" t="s">
        <v>817</v>
      </c>
      <c r="G352" s="143" t="s">
        <v>58</v>
      </c>
      <c r="H352" s="143" t="s">
        <v>21</v>
      </c>
      <c r="I352" s="129" t="s">
        <v>504</v>
      </c>
      <c r="J352" s="129">
        <v>2</v>
      </c>
      <c r="K352" s="129"/>
      <c r="L352" s="129"/>
      <c r="M352" s="177"/>
      <c r="N352" s="302">
        <f t="shared" si="788"/>
        <v>2</v>
      </c>
      <c r="O352" s="146">
        <v>4553</v>
      </c>
      <c r="P352" s="146">
        <v>4553</v>
      </c>
      <c r="Q352" s="146">
        <v>4553</v>
      </c>
      <c r="R352" s="146">
        <v>4553</v>
      </c>
      <c r="S352" s="132">
        <f t="shared" si="789"/>
        <v>9106</v>
      </c>
      <c r="T352" s="132">
        <f t="shared" si="790"/>
        <v>9106</v>
      </c>
      <c r="U352" s="132">
        <f t="shared" si="791"/>
        <v>0</v>
      </c>
      <c r="V352" s="132">
        <f t="shared" si="792"/>
        <v>0</v>
      </c>
      <c r="W352" s="132">
        <f t="shared" si="793"/>
        <v>0</v>
      </c>
      <c r="X352" s="132">
        <f t="shared" si="794"/>
        <v>9106</v>
      </c>
      <c r="Y352" s="104"/>
      <c r="AC352" s="521"/>
    </row>
    <row r="353" spans="1:215" ht="12.75" customHeight="1" outlineLevel="2" x14ac:dyDescent="0.2">
      <c r="A353" s="495" t="s">
        <v>557</v>
      </c>
      <c r="B353" s="150"/>
      <c r="C353" s="156"/>
      <c r="D353" s="129" t="s">
        <v>495</v>
      </c>
      <c r="E353" s="184"/>
      <c r="F353" s="130" t="s">
        <v>817</v>
      </c>
      <c r="G353" s="143" t="s">
        <v>58</v>
      </c>
      <c r="H353" s="143" t="s">
        <v>8</v>
      </c>
      <c r="I353" s="129" t="s">
        <v>168</v>
      </c>
      <c r="J353" s="129"/>
      <c r="K353" s="129"/>
      <c r="L353" s="129"/>
      <c r="M353" s="177"/>
      <c r="N353" s="302">
        <f t="shared" si="788"/>
        <v>0</v>
      </c>
      <c r="O353" s="146">
        <v>4553</v>
      </c>
      <c r="P353" s="146">
        <v>4553</v>
      </c>
      <c r="Q353" s="146">
        <v>4553</v>
      </c>
      <c r="R353" s="146">
        <v>4553</v>
      </c>
      <c r="S353" s="132">
        <f t="shared" si="789"/>
        <v>0</v>
      </c>
      <c r="T353" s="132">
        <f t="shared" si="790"/>
        <v>0</v>
      </c>
      <c r="U353" s="132">
        <f t="shared" si="791"/>
        <v>0</v>
      </c>
      <c r="V353" s="132">
        <f t="shared" si="792"/>
        <v>0</v>
      </c>
      <c r="W353" s="132">
        <f t="shared" si="793"/>
        <v>0</v>
      </c>
      <c r="X353" s="132">
        <f t="shared" si="794"/>
        <v>0</v>
      </c>
      <c r="Y353" s="104"/>
      <c r="AC353" s="521"/>
    </row>
    <row r="354" spans="1:215" ht="12.75" customHeight="1" outlineLevel="2" x14ac:dyDescent="0.2">
      <c r="A354" s="495" t="s">
        <v>557</v>
      </c>
      <c r="B354" s="150"/>
      <c r="C354" s="156"/>
      <c r="D354" s="129" t="s">
        <v>501</v>
      </c>
      <c r="E354" s="184"/>
      <c r="F354" s="130" t="s">
        <v>817</v>
      </c>
      <c r="G354" s="143" t="s">
        <v>58</v>
      </c>
      <c r="H354" s="143" t="s">
        <v>21</v>
      </c>
      <c r="I354" s="129" t="s">
        <v>504</v>
      </c>
      <c r="J354" s="129"/>
      <c r="K354" s="129"/>
      <c r="L354" s="129"/>
      <c r="M354" s="177"/>
      <c r="N354" s="302">
        <f t="shared" si="788"/>
        <v>0</v>
      </c>
      <c r="O354" s="146">
        <v>4553</v>
      </c>
      <c r="P354" s="146">
        <v>4553</v>
      </c>
      <c r="Q354" s="146">
        <v>4553</v>
      </c>
      <c r="R354" s="146">
        <v>4553</v>
      </c>
      <c r="S354" s="132">
        <f t="shared" si="789"/>
        <v>0</v>
      </c>
      <c r="T354" s="132">
        <f t="shared" si="790"/>
        <v>0</v>
      </c>
      <c r="U354" s="132">
        <f t="shared" si="791"/>
        <v>0</v>
      </c>
      <c r="V354" s="132">
        <f t="shared" si="792"/>
        <v>0</v>
      </c>
      <c r="W354" s="132">
        <f t="shared" si="793"/>
        <v>0</v>
      </c>
      <c r="X354" s="132">
        <f t="shared" si="794"/>
        <v>0</v>
      </c>
      <c r="Y354" s="104"/>
      <c r="AC354" s="521"/>
    </row>
    <row r="355" spans="1:215" ht="12.75" customHeight="1" outlineLevel="2" x14ac:dyDescent="0.2">
      <c r="A355" s="495" t="s">
        <v>557</v>
      </c>
      <c r="B355" s="150"/>
      <c r="C355" s="156"/>
      <c r="D355" s="129" t="s">
        <v>500</v>
      </c>
      <c r="E355" s="184"/>
      <c r="F355" s="130" t="s">
        <v>817</v>
      </c>
      <c r="G355" s="143" t="s">
        <v>58</v>
      </c>
      <c r="H355" s="143" t="s">
        <v>9</v>
      </c>
      <c r="I355" s="129" t="s">
        <v>504</v>
      </c>
      <c r="J355" s="129">
        <v>7</v>
      </c>
      <c r="K355" s="129"/>
      <c r="L355" s="129"/>
      <c r="M355" s="177"/>
      <c r="N355" s="302">
        <f t="shared" si="788"/>
        <v>7</v>
      </c>
      <c r="O355" s="146">
        <v>4553</v>
      </c>
      <c r="P355" s="146">
        <v>4553</v>
      </c>
      <c r="Q355" s="146">
        <v>4553</v>
      </c>
      <c r="R355" s="146">
        <v>4553</v>
      </c>
      <c r="S355" s="132">
        <f t="shared" si="789"/>
        <v>31871</v>
      </c>
      <c r="T355" s="132">
        <f t="shared" si="790"/>
        <v>31871</v>
      </c>
      <c r="U355" s="132">
        <f t="shared" si="791"/>
        <v>0</v>
      </c>
      <c r="V355" s="132">
        <f t="shared" si="792"/>
        <v>0</v>
      </c>
      <c r="W355" s="132">
        <f t="shared" si="793"/>
        <v>0</v>
      </c>
      <c r="X355" s="132">
        <f t="shared" si="794"/>
        <v>31871</v>
      </c>
      <c r="Y355" s="104"/>
      <c r="AC355" s="521"/>
    </row>
    <row r="356" spans="1:215" ht="12.75" customHeight="1" outlineLevel="2" x14ac:dyDescent="0.2">
      <c r="A356" s="495" t="s">
        <v>557</v>
      </c>
      <c r="B356" s="150"/>
      <c r="C356" s="156"/>
      <c r="D356" s="129" t="s">
        <v>498</v>
      </c>
      <c r="E356" s="184"/>
      <c r="F356" s="130" t="s">
        <v>817</v>
      </c>
      <c r="G356" s="143" t="s">
        <v>58</v>
      </c>
      <c r="H356" s="143" t="s">
        <v>8</v>
      </c>
      <c r="I356" s="129" t="s">
        <v>68</v>
      </c>
      <c r="J356" s="129">
        <v>2</v>
      </c>
      <c r="K356" s="129"/>
      <c r="L356" s="129"/>
      <c r="M356" s="177"/>
      <c r="N356" s="302">
        <f t="shared" si="788"/>
        <v>2</v>
      </c>
      <c r="O356" s="146">
        <v>4553</v>
      </c>
      <c r="P356" s="146">
        <v>4553</v>
      </c>
      <c r="Q356" s="146">
        <v>4553</v>
      </c>
      <c r="R356" s="146">
        <v>4553</v>
      </c>
      <c r="S356" s="132">
        <f t="shared" si="789"/>
        <v>9106</v>
      </c>
      <c r="T356" s="132">
        <f t="shared" si="790"/>
        <v>9106</v>
      </c>
      <c r="U356" s="132">
        <f t="shared" si="791"/>
        <v>0</v>
      </c>
      <c r="V356" s="132">
        <f t="shared" si="792"/>
        <v>0</v>
      </c>
      <c r="W356" s="132">
        <f t="shared" si="793"/>
        <v>0</v>
      </c>
      <c r="X356" s="132">
        <f t="shared" si="794"/>
        <v>9106</v>
      </c>
      <c r="Y356" s="104"/>
      <c r="AC356" s="521"/>
    </row>
    <row r="357" spans="1:215" ht="12.75" customHeight="1" outlineLevel="2" x14ac:dyDescent="0.2">
      <c r="A357" s="495" t="s">
        <v>557</v>
      </c>
      <c r="B357" s="150"/>
      <c r="C357" s="156"/>
      <c r="D357" s="129" t="s">
        <v>497</v>
      </c>
      <c r="E357" s="184"/>
      <c r="F357" s="130" t="s">
        <v>817</v>
      </c>
      <c r="G357" s="143" t="s">
        <v>58</v>
      </c>
      <c r="H357" s="143" t="s">
        <v>8</v>
      </c>
      <c r="I357" s="129" t="s">
        <v>168</v>
      </c>
      <c r="J357" s="129">
        <v>2</v>
      </c>
      <c r="K357" s="129"/>
      <c r="L357" s="129"/>
      <c r="M357" s="177"/>
      <c r="N357" s="302">
        <f t="shared" si="788"/>
        <v>2</v>
      </c>
      <c r="O357" s="146">
        <v>4553</v>
      </c>
      <c r="P357" s="146">
        <v>4553</v>
      </c>
      <c r="Q357" s="146">
        <v>4553</v>
      </c>
      <c r="R357" s="146">
        <v>4553</v>
      </c>
      <c r="S357" s="132">
        <f t="shared" si="789"/>
        <v>9106</v>
      </c>
      <c r="T357" s="132">
        <f t="shared" si="790"/>
        <v>9106</v>
      </c>
      <c r="U357" s="132">
        <f t="shared" si="791"/>
        <v>0</v>
      </c>
      <c r="V357" s="132">
        <f t="shared" si="792"/>
        <v>0</v>
      </c>
      <c r="W357" s="132">
        <f t="shared" si="793"/>
        <v>0</v>
      </c>
      <c r="X357" s="132">
        <f t="shared" si="794"/>
        <v>9106</v>
      </c>
      <c r="Y357" s="104"/>
      <c r="AC357" s="521"/>
    </row>
    <row r="358" spans="1:215" ht="12.75" customHeight="1" outlineLevel="2" x14ac:dyDescent="0.2">
      <c r="A358" s="495" t="s">
        <v>557</v>
      </c>
      <c r="B358" s="150"/>
      <c r="C358" s="156"/>
      <c r="D358" s="129" t="s">
        <v>496</v>
      </c>
      <c r="E358" s="184"/>
      <c r="F358" s="130" t="s">
        <v>817</v>
      </c>
      <c r="G358" s="143" t="s">
        <v>58</v>
      </c>
      <c r="H358" s="143" t="s">
        <v>8</v>
      </c>
      <c r="I358" s="129" t="s">
        <v>168</v>
      </c>
      <c r="J358" s="129"/>
      <c r="K358" s="129"/>
      <c r="L358" s="129"/>
      <c r="M358" s="177"/>
      <c r="N358" s="302">
        <f t="shared" si="788"/>
        <v>0</v>
      </c>
      <c r="O358" s="146">
        <v>4553</v>
      </c>
      <c r="P358" s="146">
        <v>4553</v>
      </c>
      <c r="Q358" s="146">
        <v>4553</v>
      </c>
      <c r="R358" s="146">
        <v>4553</v>
      </c>
      <c r="S358" s="132">
        <f t="shared" si="789"/>
        <v>0</v>
      </c>
      <c r="T358" s="132">
        <f>IF(O357&gt;prisgrense,J358*prisgrense,J358*O357)</f>
        <v>0</v>
      </c>
      <c r="U358" s="132">
        <f t="shared" ref="U358:U372" si="795">IF(P358&gt;prisgrense,K358*prisgrense,K358*P358)</f>
        <v>0</v>
      </c>
      <c r="V358" s="132">
        <f t="shared" ref="V358:V372" si="796">IF(Q358&gt;prisgrense,L358*prisgrense,L358*Q358)</f>
        <v>0</v>
      </c>
      <c r="W358" s="132">
        <f t="shared" ref="W358:W372" si="797">IF(R358&gt;prisgrense,M358*prisgrense,M358*R358)</f>
        <v>0</v>
      </c>
      <c r="X358" s="132">
        <f t="shared" si="794"/>
        <v>0</v>
      </c>
      <c r="Y358" s="104"/>
      <c r="AC358" s="521"/>
    </row>
    <row r="359" spans="1:215" ht="12.75" customHeight="1" outlineLevel="2" x14ac:dyDescent="0.2">
      <c r="A359" s="495" t="s">
        <v>557</v>
      </c>
      <c r="B359" s="150"/>
      <c r="C359" s="156"/>
      <c r="D359" s="129" t="s">
        <v>499</v>
      </c>
      <c r="E359" s="184"/>
      <c r="F359" s="130" t="s">
        <v>817</v>
      </c>
      <c r="G359" s="143" t="s">
        <v>58</v>
      </c>
      <c r="H359" s="143" t="s">
        <v>8</v>
      </c>
      <c r="I359" s="129" t="s">
        <v>128</v>
      </c>
      <c r="J359" s="129">
        <v>2</v>
      </c>
      <c r="K359" s="129"/>
      <c r="L359" s="129"/>
      <c r="M359" s="177"/>
      <c r="N359" s="302">
        <f t="shared" si="788"/>
        <v>2</v>
      </c>
      <c r="O359" s="146">
        <v>4553</v>
      </c>
      <c r="P359" s="146">
        <v>4553</v>
      </c>
      <c r="Q359" s="146">
        <v>4553</v>
      </c>
      <c r="R359" s="146">
        <v>4553</v>
      </c>
      <c r="S359" s="132">
        <f t="shared" si="789"/>
        <v>9106</v>
      </c>
      <c r="T359" s="132">
        <f t="shared" ref="T359:T372" si="798">IF(O359&gt;prisgrense,J359*prisgrense,J359*O359)</f>
        <v>9106</v>
      </c>
      <c r="U359" s="132">
        <f t="shared" si="795"/>
        <v>0</v>
      </c>
      <c r="V359" s="132">
        <f t="shared" si="796"/>
        <v>0</v>
      </c>
      <c r="W359" s="132">
        <f t="shared" si="797"/>
        <v>0</v>
      </c>
      <c r="X359" s="132">
        <f t="shared" si="794"/>
        <v>9106</v>
      </c>
      <c r="Y359" s="104"/>
      <c r="AC359" s="521"/>
    </row>
    <row r="360" spans="1:215" ht="12.75" customHeight="1" outlineLevel="2" x14ac:dyDescent="0.2">
      <c r="A360" s="495" t="s">
        <v>557</v>
      </c>
      <c r="B360" s="150"/>
      <c r="C360" s="186" t="s">
        <v>142</v>
      </c>
      <c r="D360" s="128" t="s">
        <v>196</v>
      </c>
      <c r="E360" s="361">
        <v>1011134</v>
      </c>
      <c r="F360" s="536" t="s">
        <v>792</v>
      </c>
      <c r="G360" s="191" t="s">
        <v>104</v>
      </c>
      <c r="H360" s="161" t="s">
        <v>8</v>
      </c>
      <c r="I360" s="140" t="s">
        <v>68</v>
      </c>
      <c r="J360" s="140"/>
      <c r="K360" s="140"/>
      <c r="L360" s="140"/>
      <c r="M360" s="140"/>
      <c r="N360" s="581">
        <f t="shared" ref="N360:N367" si="799">SUM(J360:M360)</f>
        <v>0</v>
      </c>
      <c r="O360" s="392">
        <v>4469</v>
      </c>
      <c r="P360" s="392">
        <v>4469</v>
      </c>
      <c r="Q360" s="392">
        <v>4469</v>
      </c>
      <c r="R360" s="392">
        <v>4469</v>
      </c>
      <c r="S360" s="582">
        <f>SUMPRODUCT(J360:M360,O360:R360)</f>
        <v>0</v>
      </c>
      <c r="T360" s="582">
        <f t="shared" ref="T360:W361" si="800">IF(O360&gt;prisgrense,J360*prisgrense,J360*O360)</f>
        <v>0</v>
      </c>
      <c r="U360" s="582">
        <f t="shared" si="800"/>
        <v>0</v>
      </c>
      <c r="V360" s="582">
        <f t="shared" si="800"/>
        <v>0</v>
      </c>
      <c r="W360" s="582">
        <f t="shared" si="800"/>
        <v>0</v>
      </c>
      <c r="X360" s="582">
        <f>SUM(T360:W360)</f>
        <v>0</v>
      </c>
      <c r="Y360" s="104" t="s">
        <v>912</v>
      </c>
      <c r="Z360" s="393">
        <v>4</v>
      </c>
      <c r="AC360" s="521"/>
    </row>
    <row r="361" spans="1:215" ht="12.75" customHeight="1" outlineLevel="2" x14ac:dyDescent="0.2">
      <c r="A361" s="495" t="s">
        <v>557</v>
      </c>
      <c r="B361" s="150"/>
      <c r="C361" s="129" t="s">
        <v>703</v>
      </c>
      <c r="D361" s="145" t="s">
        <v>527</v>
      </c>
      <c r="E361" s="363">
        <v>1012112</v>
      </c>
      <c r="F361" s="189" t="s">
        <v>792</v>
      </c>
      <c r="G361" s="577" t="s">
        <v>104</v>
      </c>
      <c r="H361" s="578" t="s">
        <v>8</v>
      </c>
      <c r="I361" s="579" t="s">
        <v>68</v>
      </c>
      <c r="J361" s="579">
        <v>47</v>
      </c>
      <c r="K361" s="579"/>
      <c r="L361" s="579"/>
      <c r="M361" s="580"/>
      <c r="N361" s="581">
        <f t="shared" si="799"/>
        <v>47</v>
      </c>
      <c r="O361" s="392">
        <v>4634</v>
      </c>
      <c r="P361" s="392">
        <v>4634</v>
      </c>
      <c r="Q361" s="392">
        <v>4634</v>
      </c>
      <c r="R361" s="392">
        <v>4634</v>
      </c>
      <c r="S361" s="582">
        <f>SUMPRODUCT(J361:M361,O361:R361)</f>
        <v>217798</v>
      </c>
      <c r="T361" s="582">
        <f t="shared" si="800"/>
        <v>217798</v>
      </c>
      <c r="U361" s="582">
        <f t="shared" si="800"/>
        <v>0</v>
      </c>
      <c r="V361" s="582">
        <f t="shared" si="800"/>
        <v>0</v>
      </c>
      <c r="W361" s="582">
        <f t="shared" si="800"/>
        <v>0</v>
      </c>
      <c r="X361" s="582">
        <f>SUM(T361:W361)</f>
        <v>217798</v>
      </c>
      <c r="Y361" s="104" t="s">
        <v>910</v>
      </c>
      <c r="Z361" s="393">
        <v>4</v>
      </c>
      <c r="AC361" s="521"/>
    </row>
    <row r="362" spans="1:215" outlineLevel="2" x14ac:dyDescent="0.2">
      <c r="A362" s="495" t="s">
        <v>557</v>
      </c>
      <c r="B362" s="150"/>
      <c r="C362" s="129" t="s">
        <v>703</v>
      </c>
      <c r="D362" s="129" t="s">
        <v>704</v>
      </c>
      <c r="E362" s="184">
        <v>1012103</v>
      </c>
      <c r="F362" s="135" t="s">
        <v>792</v>
      </c>
      <c r="G362" s="135" t="s">
        <v>104</v>
      </c>
      <c r="H362" s="136" t="s">
        <v>8</v>
      </c>
      <c r="I362" s="134" t="s">
        <v>128</v>
      </c>
      <c r="J362" s="134">
        <v>13</v>
      </c>
      <c r="K362" s="134"/>
      <c r="L362" s="134"/>
      <c r="M362" s="177"/>
      <c r="N362" s="302">
        <f t="shared" si="799"/>
        <v>13</v>
      </c>
      <c r="O362" s="392">
        <v>4629</v>
      </c>
      <c r="P362" s="392">
        <v>4629</v>
      </c>
      <c r="Q362" s="392">
        <v>4629</v>
      </c>
      <c r="R362" s="392">
        <v>4629</v>
      </c>
      <c r="S362" s="132">
        <f t="shared" ref="S362:S367" si="801">SUMPRODUCT(J362:M362,O362:R362)</f>
        <v>60177</v>
      </c>
      <c r="T362" s="132">
        <f t="shared" ref="T362:T367" si="802">IF(O362&gt;prisgrense,J362*prisgrense,J362*O362)</f>
        <v>60177</v>
      </c>
      <c r="U362" s="132">
        <f t="shared" ref="U362:U367" si="803">IF(P362&gt;prisgrense,K362*prisgrense,K362*P362)</f>
        <v>0</v>
      </c>
      <c r="V362" s="132">
        <f t="shared" ref="V362:V367" si="804">IF(Q362&gt;prisgrense,L362*prisgrense,L362*Q362)</f>
        <v>0</v>
      </c>
      <c r="W362" s="132">
        <f t="shared" ref="W362:W367" si="805">IF(R362&gt;prisgrense,M362*prisgrense,M362*R362)</f>
        <v>0</v>
      </c>
      <c r="X362" s="132">
        <f t="shared" ref="X362:X367" si="806">SUM(T362:W362)</f>
        <v>60177</v>
      </c>
      <c r="Y362" s="139" t="s">
        <v>900</v>
      </c>
      <c r="Z362" s="393">
        <v>1</v>
      </c>
      <c r="AC362" s="521"/>
    </row>
    <row r="363" spans="1:215" outlineLevel="2" x14ac:dyDescent="0.2">
      <c r="A363" s="495" t="s">
        <v>557</v>
      </c>
      <c r="B363" s="150"/>
      <c r="C363" s="129" t="s">
        <v>703</v>
      </c>
      <c r="D363" s="129" t="s">
        <v>705</v>
      </c>
      <c r="E363" s="184">
        <v>1012108</v>
      </c>
      <c r="F363" s="135" t="s">
        <v>792</v>
      </c>
      <c r="G363" s="135" t="s">
        <v>104</v>
      </c>
      <c r="H363" s="136" t="s">
        <v>8</v>
      </c>
      <c r="I363" s="134" t="s">
        <v>168</v>
      </c>
      <c r="J363" s="134">
        <v>12</v>
      </c>
      <c r="K363" s="134"/>
      <c r="L363" s="134"/>
      <c r="M363" s="177"/>
      <c r="N363" s="302">
        <f t="shared" si="799"/>
        <v>12</v>
      </c>
      <c r="O363" s="392">
        <v>4735</v>
      </c>
      <c r="P363" s="392">
        <v>4735</v>
      </c>
      <c r="Q363" s="392">
        <v>4735</v>
      </c>
      <c r="R363" s="392">
        <v>4735</v>
      </c>
      <c r="S363" s="132">
        <f t="shared" si="801"/>
        <v>56820</v>
      </c>
      <c r="T363" s="132">
        <f t="shared" si="802"/>
        <v>56820</v>
      </c>
      <c r="U363" s="132">
        <f t="shared" si="803"/>
        <v>0</v>
      </c>
      <c r="V363" s="132">
        <f t="shared" si="804"/>
        <v>0</v>
      </c>
      <c r="W363" s="132">
        <f t="shared" si="805"/>
        <v>0</v>
      </c>
      <c r="X363" s="132">
        <f t="shared" si="806"/>
        <v>56820</v>
      </c>
      <c r="Y363" s="139" t="s">
        <v>900</v>
      </c>
      <c r="Z363" s="393">
        <v>1</v>
      </c>
      <c r="AC363" s="521"/>
    </row>
    <row r="364" spans="1:215" outlineLevel="2" x14ac:dyDescent="0.2">
      <c r="A364" s="495" t="s">
        <v>557</v>
      </c>
      <c r="B364" s="150"/>
      <c r="C364" s="129" t="s">
        <v>703</v>
      </c>
      <c r="D364" s="129" t="s">
        <v>528</v>
      </c>
      <c r="E364" s="184">
        <v>1012104</v>
      </c>
      <c r="F364" s="135" t="s">
        <v>792</v>
      </c>
      <c r="G364" s="135" t="s">
        <v>104</v>
      </c>
      <c r="H364" s="136" t="s">
        <v>8</v>
      </c>
      <c r="I364" s="134" t="s">
        <v>68</v>
      </c>
      <c r="J364" s="134">
        <v>27</v>
      </c>
      <c r="K364" s="134"/>
      <c r="L364" s="134"/>
      <c r="M364" s="177"/>
      <c r="N364" s="302">
        <f t="shared" si="799"/>
        <v>27</v>
      </c>
      <c r="O364" s="392">
        <v>4735</v>
      </c>
      <c r="P364" s="392">
        <v>4735</v>
      </c>
      <c r="Q364" s="392">
        <v>4735</v>
      </c>
      <c r="R364" s="392">
        <v>4735</v>
      </c>
      <c r="S364" s="132">
        <f t="shared" si="801"/>
        <v>127845</v>
      </c>
      <c r="T364" s="132">
        <f t="shared" si="802"/>
        <v>127845</v>
      </c>
      <c r="U364" s="132">
        <f t="shared" si="803"/>
        <v>0</v>
      </c>
      <c r="V364" s="132">
        <f t="shared" si="804"/>
        <v>0</v>
      </c>
      <c r="W364" s="132">
        <f t="shared" si="805"/>
        <v>0</v>
      </c>
      <c r="X364" s="132">
        <f t="shared" si="806"/>
        <v>127845</v>
      </c>
      <c r="Y364" s="139" t="s">
        <v>900</v>
      </c>
      <c r="Z364" s="393">
        <v>1</v>
      </c>
      <c r="AC364" s="521"/>
    </row>
    <row r="365" spans="1:215" outlineLevel="2" x14ac:dyDescent="0.2">
      <c r="A365" s="495" t="s">
        <v>557</v>
      </c>
      <c r="B365" s="150"/>
      <c r="C365" s="129" t="s">
        <v>703</v>
      </c>
      <c r="D365" s="129" t="s">
        <v>527</v>
      </c>
      <c r="E365" s="184">
        <v>1012112</v>
      </c>
      <c r="F365" s="135" t="s">
        <v>792</v>
      </c>
      <c r="G365" s="135" t="s">
        <v>104</v>
      </c>
      <c r="H365" s="136" t="s">
        <v>8</v>
      </c>
      <c r="I365" s="134" t="s">
        <v>68</v>
      </c>
      <c r="J365" s="134">
        <v>47</v>
      </c>
      <c r="K365" s="134"/>
      <c r="L365" s="134"/>
      <c r="M365" s="177"/>
      <c r="N365" s="302">
        <f t="shared" si="799"/>
        <v>47</v>
      </c>
      <c r="O365" s="392">
        <v>4634</v>
      </c>
      <c r="P365" s="392">
        <v>4634</v>
      </c>
      <c r="Q365" s="392">
        <v>4634</v>
      </c>
      <c r="R365" s="392">
        <v>4634</v>
      </c>
      <c r="S365" s="132">
        <f t="shared" si="801"/>
        <v>217798</v>
      </c>
      <c r="T365" s="132">
        <f t="shared" si="802"/>
        <v>217798</v>
      </c>
      <c r="U365" s="132">
        <f t="shared" si="803"/>
        <v>0</v>
      </c>
      <c r="V365" s="132">
        <f t="shared" si="804"/>
        <v>0</v>
      </c>
      <c r="W365" s="132">
        <f t="shared" si="805"/>
        <v>0</v>
      </c>
      <c r="X365" s="132">
        <f t="shared" si="806"/>
        <v>217798</v>
      </c>
      <c r="Y365" s="139" t="s">
        <v>900</v>
      </c>
      <c r="Z365" s="393">
        <v>1</v>
      </c>
      <c r="AC365" s="521"/>
    </row>
    <row r="366" spans="1:215" outlineLevel="2" x14ac:dyDescent="0.2">
      <c r="A366" s="495" t="s">
        <v>557</v>
      </c>
      <c r="B366" s="150"/>
      <c r="C366" s="129" t="s">
        <v>703</v>
      </c>
      <c r="D366" s="129" t="s">
        <v>706</v>
      </c>
      <c r="E366" s="184">
        <v>1012123</v>
      </c>
      <c r="F366" s="135" t="s">
        <v>792</v>
      </c>
      <c r="G366" s="135" t="s">
        <v>104</v>
      </c>
      <c r="H366" s="136" t="s">
        <v>9</v>
      </c>
      <c r="I366" s="134" t="s">
        <v>504</v>
      </c>
      <c r="J366" s="134">
        <v>50</v>
      </c>
      <c r="K366" s="134"/>
      <c r="L366" s="134"/>
      <c r="M366" s="177"/>
      <c r="N366" s="302">
        <f t="shared" si="799"/>
        <v>50</v>
      </c>
      <c r="O366" s="392">
        <v>4524</v>
      </c>
      <c r="P366" s="392">
        <v>4524</v>
      </c>
      <c r="Q366" s="392">
        <v>4524</v>
      </c>
      <c r="R366" s="392">
        <v>4524</v>
      </c>
      <c r="S366" s="132">
        <f t="shared" si="801"/>
        <v>226200</v>
      </c>
      <c r="T366" s="132">
        <f t="shared" si="802"/>
        <v>226200</v>
      </c>
      <c r="U366" s="132">
        <f t="shared" si="803"/>
        <v>0</v>
      </c>
      <c r="V366" s="132">
        <f t="shared" si="804"/>
        <v>0</v>
      </c>
      <c r="W366" s="132">
        <f t="shared" si="805"/>
        <v>0</v>
      </c>
      <c r="X366" s="132">
        <f t="shared" si="806"/>
        <v>226200</v>
      </c>
      <c r="Y366" s="139" t="s">
        <v>900</v>
      </c>
      <c r="Z366" s="393">
        <v>1</v>
      </c>
      <c r="AC366" s="521"/>
    </row>
    <row r="367" spans="1:215" outlineLevel="2" x14ac:dyDescent="0.2">
      <c r="A367" s="495" t="s">
        <v>557</v>
      </c>
      <c r="B367" s="150"/>
      <c r="C367" s="129" t="s">
        <v>703</v>
      </c>
      <c r="D367" s="129" t="s">
        <v>707</v>
      </c>
      <c r="E367" s="184">
        <v>1012127</v>
      </c>
      <c r="F367" s="135" t="s">
        <v>792</v>
      </c>
      <c r="G367" s="135" t="s">
        <v>104</v>
      </c>
      <c r="H367" s="136" t="s">
        <v>21</v>
      </c>
      <c r="I367" s="134" t="s">
        <v>504</v>
      </c>
      <c r="J367" s="134">
        <v>34</v>
      </c>
      <c r="K367" s="134"/>
      <c r="L367" s="134"/>
      <c r="M367" s="177"/>
      <c r="N367" s="302">
        <f t="shared" si="799"/>
        <v>34</v>
      </c>
      <c r="O367" s="392">
        <v>4524</v>
      </c>
      <c r="P367" s="392">
        <v>4524</v>
      </c>
      <c r="Q367" s="392">
        <v>4524</v>
      </c>
      <c r="R367" s="392">
        <v>4524</v>
      </c>
      <c r="S367" s="132">
        <f t="shared" si="801"/>
        <v>153816</v>
      </c>
      <c r="T367" s="132">
        <f t="shared" si="802"/>
        <v>153816</v>
      </c>
      <c r="U367" s="132">
        <f t="shared" si="803"/>
        <v>0</v>
      </c>
      <c r="V367" s="132">
        <f t="shared" si="804"/>
        <v>0</v>
      </c>
      <c r="W367" s="132">
        <f t="shared" si="805"/>
        <v>0</v>
      </c>
      <c r="X367" s="132">
        <f t="shared" si="806"/>
        <v>153816</v>
      </c>
      <c r="Y367" s="139" t="s">
        <v>900</v>
      </c>
      <c r="Z367" s="393">
        <v>1</v>
      </c>
      <c r="AC367" s="521"/>
    </row>
    <row r="368" spans="1:215" outlineLevel="2" x14ac:dyDescent="0.2">
      <c r="A368" s="495" t="s">
        <v>557</v>
      </c>
      <c r="B368" s="127"/>
      <c r="C368" s="128" t="s">
        <v>189</v>
      </c>
      <c r="D368" s="145" t="s">
        <v>190</v>
      </c>
      <c r="E368" s="356">
        <v>1011101</v>
      </c>
      <c r="F368" s="135" t="s">
        <v>792</v>
      </c>
      <c r="G368" s="143" t="s">
        <v>104</v>
      </c>
      <c r="H368" s="133" t="s">
        <v>8</v>
      </c>
      <c r="I368" s="134" t="s">
        <v>168</v>
      </c>
      <c r="J368" s="134">
        <v>2</v>
      </c>
      <c r="K368" s="134"/>
      <c r="L368" s="134"/>
      <c r="M368" s="177"/>
      <c r="N368" s="302">
        <f t="shared" ref="N368:N371" si="807">SUM(J368:M368)</f>
        <v>2</v>
      </c>
      <c r="O368" s="392">
        <v>4597</v>
      </c>
      <c r="P368" s="392">
        <v>4597</v>
      </c>
      <c r="Q368" s="392">
        <v>4597</v>
      </c>
      <c r="R368" s="392">
        <v>4597</v>
      </c>
      <c r="S368" s="132">
        <f t="shared" ref="S368:S371" si="808">SUMPRODUCT(J368:M368,O368:R368)</f>
        <v>9194</v>
      </c>
      <c r="T368" s="132">
        <f t="shared" ref="T368:T371" si="809">IF(O368&gt;prisgrense,J368*prisgrense,J368*O368)</f>
        <v>9194</v>
      </c>
      <c r="U368" s="132">
        <f t="shared" si="795"/>
        <v>0</v>
      </c>
      <c r="V368" s="132">
        <f t="shared" si="796"/>
        <v>0</v>
      </c>
      <c r="W368" s="132">
        <f t="shared" si="797"/>
        <v>0</v>
      </c>
      <c r="X368" s="132">
        <f t="shared" ref="X368:X371" si="810">SUM(T368:W368)</f>
        <v>9194</v>
      </c>
      <c r="Y368" s="139" t="s">
        <v>702</v>
      </c>
      <c r="Z368" s="394">
        <v>1</v>
      </c>
      <c r="AA368" s="139"/>
      <c r="AB368" s="139"/>
      <c r="AC368" s="521"/>
      <c r="AD368" s="139"/>
      <c r="AE368" s="139"/>
      <c r="AF368" s="139"/>
      <c r="AG368" s="139"/>
      <c r="AH368" s="139"/>
      <c r="AI368" s="139"/>
      <c r="AJ368" s="139"/>
      <c r="AK368" s="139"/>
      <c r="AL368" s="139"/>
      <c r="AM368" s="139"/>
      <c r="AN368" s="139"/>
      <c r="AO368" s="139"/>
      <c r="AP368" s="139"/>
      <c r="AQ368" s="139"/>
      <c r="AR368" s="139"/>
      <c r="AS368" s="139"/>
      <c r="AT368" s="139"/>
      <c r="AU368" s="139"/>
      <c r="AV368" s="139"/>
      <c r="AW368" s="139"/>
      <c r="AX368" s="139"/>
      <c r="AY368" s="139"/>
      <c r="AZ368" s="139"/>
      <c r="BA368" s="139"/>
      <c r="BB368" s="139"/>
      <c r="BC368" s="139"/>
      <c r="BD368" s="139"/>
      <c r="BE368" s="139"/>
      <c r="BF368" s="139"/>
      <c r="BG368" s="139"/>
      <c r="BH368" s="139"/>
      <c r="BI368" s="139"/>
      <c r="BJ368" s="139"/>
      <c r="BK368" s="139"/>
      <c r="BL368" s="139"/>
      <c r="BM368" s="139"/>
      <c r="BN368" s="139"/>
      <c r="BO368" s="139"/>
      <c r="BP368" s="139"/>
      <c r="BQ368" s="139"/>
      <c r="BR368" s="139"/>
      <c r="BS368" s="139"/>
      <c r="BT368" s="139"/>
      <c r="BU368" s="139"/>
      <c r="BV368" s="139"/>
      <c r="BW368" s="139"/>
      <c r="BX368" s="139"/>
      <c r="BY368" s="139"/>
      <c r="BZ368" s="139"/>
      <c r="CA368" s="139"/>
      <c r="CB368" s="139"/>
      <c r="CC368" s="139"/>
      <c r="CD368" s="139"/>
      <c r="CE368" s="139"/>
      <c r="CF368" s="139"/>
      <c r="CG368" s="139"/>
      <c r="CH368" s="139"/>
      <c r="CI368" s="139"/>
      <c r="CJ368" s="139"/>
      <c r="CK368" s="139"/>
      <c r="CL368" s="139"/>
      <c r="CM368" s="139"/>
      <c r="CN368" s="139"/>
      <c r="CO368" s="139"/>
      <c r="CP368" s="139"/>
      <c r="CQ368" s="139"/>
      <c r="CR368" s="139"/>
      <c r="CS368" s="139"/>
      <c r="CT368" s="139"/>
      <c r="CU368" s="139"/>
      <c r="CV368" s="139"/>
      <c r="CW368" s="139"/>
      <c r="CX368" s="139"/>
      <c r="CY368" s="139"/>
      <c r="CZ368" s="139"/>
      <c r="DA368" s="139"/>
      <c r="DB368" s="139"/>
      <c r="DC368" s="139"/>
      <c r="DD368" s="139"/>
      <c r="DE368" s="139"/>
      <c r="DF368" s="139"/>
      <c r="DG368" s="139"/>
      <c r="DH368" s="139"/>
      <c r="DI368" s="139"/>
      <c r="DJ368" s="139"/>
      <c r="DK368" s="139"/>
      <c r="DL368" s="139"/>
      <c r="DM368" s="139"/>
      <c r="DN368" s="139"/>
      <c r="DO368" s="139"/>
      <c r="DP368" s="139"/>
      <c r="DQ368" s="139"/>
      <c r="DR368" s="139"/>
      <c r="DS368" s="139"/>
      <c r="DT368" s="139"/>
      <c r="DU368" s="139"/>
      <c r="DV368" s="139"/>
      <c r="DW368" s="139"/>
      <c r="DX368" s="139"/>
      <c r="DY368" s="139"/>
      <c r="DZ368" s="139"/>
      <c r="EA368" s="139"/>
      <c r="EB368" s="139"/>
      <c r="EC368" s="139"/>
      <c r="ED368" s="139"/>
      <c r="EE368" s="139"/>
      <c r="EF368" s="139"/>
      <c r="EG368" s="139"/>
      <c r="EH368" s="139"/>
      <c r="EI368" s="139"/>
      <c r="EJ368" s="139"/>
      <c r="EK368" s="139"/>
      <c r="EL368" s="139"/>
      <c r="EM368" s="139"/>
      <c r="EN368" s="139"/>
      <c r="EO368" s="139"/>
      <c r="EP368" s="139"/>
      <c r="EQ368" s="139"/>
      <c r="ER368" s="139"/>
      <c r="ES368" s="139"/>
      <c r="ET368" s="139"/>
      <c r="EU368" s="139"/>
      <c r="EV368" s="139"/>
      <c r="EW368" s="139"/>
      <c r="EX368" s="139"/>
      <c r="EY368" s="139"/>
      <c r="EZ368" s="139"/>
      <c r="FA368" s="139"/>
      <c r="FB368" s="139"/>
      <c r="FC368" s="139"/>
      <c r="FD368" s="139"/>
      <c r="FE368" s="139"/>
      <c r="FF368" s="139"/>
      <c r="FG368" s="139"/>
      <c r="FH368" s="139"/>
      <c r="FI368" s="139"/>
      <c r="FJ368" s="139"/>
      <c r="FK368" s="139"/>
      <c r="FL368" s="139"/>
      <c r="FM368" s="139"/>
      <c r="FN368" s="139"/>
      <c r="FO368" s="139"/>
      <c r="FP368" s="139"/>
      <c r="FQ368" s="139"/>
      <c r="FR368" s="139"/>
      <c r="FS368" s="139"/>
      <c r="FT368" s="139"/>
      <c r="FU368" s="139"/>
      <c r="FV368" s="139"/>
      <c r="FW368" s="139"/>
      <c r="FX368" s="139"/>
      <c r="FY368" s="139"/>
      <c r="FZ368" s="139"/>
      <c r="GA368" s="139"/>
      <c r="GB368" s="139"/>
      <c r="GC368" s="139"/>
      <c r="GD368" s="139"/>
      <c r="GE368" s="139"/>
      <c r="GF368" s="139"/>
      <c r="GG368" s="139"/>
      <c r="GH368" s="139"/>
      <c r="GI368" s="139"/>
      <c r="GJ368" s="139"/>
      <c r="GK368" s="139"/>
      <c r="GL368" s="139"/>
      <c r="GM368" s="139"/>
      <c r="GN368" s="139"/>
      <c r="GO368" s="139"/>
      <c r="GP368" s="139"/>
      <c r="GQ368" s="139"/>
      <c r="GR368" s="139"/>
      <c r="GS368" s="139"/>
      <c r="GT368" s="139"/>
      <c r="GU368" s="139"/>
      <c r="GV368" s="139"/>
      <c r="GW368" s="139"/>
      <c r="GX368" s="139"/>
      <c r="GY368" s="139"/>
      <c r="GZ368" s="139"/>
      <c r="HA368" s="139"/>
      <c r="HB368" s="139"/>
      <c r="HC368" s="139"/>
      <c r="HD368" s="139"/>
      <c r="HE368" s="139"/>
      <c r="HF368" s="139"/>
      <c r="HG368" s="139"/>
    </row>
    <row r="369" spans="1:29" outlineLevel="2" x14ac:dyDescent="0.2">
      <c r="A369" s="495" t="s">
        <v>557</v>
      </c>
      <c r="B369" s="127"/>
      <c r="C369" s="128" t="s">
        <v>189</v>
      </c>
      <c r="D369" s="128" t="s">
        <v>141</v>
      </c>
      <c r="E369" s="357">
        <v>1011102</v>
      </c>
      <c r="F369" s="135" t="s">
        <v>792</v>
      </c>
      <c r="G369" s="135" t="s">
        <v>104</v>
      </c>
      <c r="H369" s="136" t="s">
        <v>8</v>
      </c>
      <c r="I369" s="134" t="s">
        <v>168</v>
      </c>
      <c r="J369" s="134">
        <v>2</v>
      </c>
      <c r="K369" s="134"/>
      <c r="L369" s="134"/>
      <c r="M369" s="177"/>
      <c r="N369" s="302">
        <f t="shared" si="807"/>
        <v>2</v>
      </c>
      <c r="O369" s="392">
        <v>4702</v>
      </c>
      <c r="P369" s="392">
        <v>4702</v>
      </c>
      <c r="Q369" s="392">
        <v>4702</v>
      </c>
      <c r="R369" s="392">
        <v>4702</v>
      </c>
      <c r="S369" s="132">
        <f t="shared" si="808"/>
        <v>9404</v>
      </c>
      <c r="T369" s="132">
        <f t="shared" si="809"/>
        <v>9404</v>
      </c>
      <c r="U369" s="132">
        <f t="shared" si="795"/>
        <v>0</v>
      </c>
      <c r="V369" s="132">
        <f t="shared" si="796"/>
        <v>0</v>
      </c>
      <c r="W369" s="132">
        <f t="shared" si="797"/>
        <v>0</v>
      </c>
      <c r="X369" s="132">
        <f t="shared" si="810"/>
        <v>9404</v>
      </c>
      <c r="Y369" s="139" t="s">
        <v>702</v>
      </c>
      <c r="Z369" s="393">
        <v>1</v>
      </c>
      <c r="AC369" s="521"/>
    </row>
    <row r="370" spans="1:29" outlineLevel="2" x14ac:dyDescent="0.2">
      <c r="A370" s="495" t="s">
        <v>557</v>
      </c>
      <c r="B370" s="148"/>
      <c r="C370" s="129" t="s">
        <v>189</v>
      </c>
      <c r="D370" s="129" t="s">
        <v>191</v>
      </c>
      <c r="E370" s="184">
        <v>1021122</v>
      </c>
      <c r="F370" s="135" t="s">
        <v>792</v>
      </c>
      <c r="G370" s="135" t="s">
        <v>104</v>
      </c>
      <c r="H370" s="136" t="s">
        <v>9</v>
      </c>
      <c r="I370" s="135" t="s">
        <v>504</v>
      </c>
      <c r="J370" s="135">
        <v>1</v>
      </c>
      <c r="K370" s="135"/>
      <c r="L370" s="135"/>
      <c r="M370" s="137"/>
      <c r="N370" s="302">
        <f t="shared" si="807"/>
        <v>1</v>
      </c>
      <c r="O370" s="392">
        <v>4332</v>
      </c>
      <c r="P370" s="392">
        <v>4332</v>
      </c>
      <c r="Q370" s="392">
        <v>4332</v>
      </c>
      <c r="R370" s="392">
        <v>4332</v>
      </c>
      <c r="S370" s="132">
        <f t="shared" si="808"/>
        <v>4332</v>
      </c>
      <c r="T370" s="132">
        <f t="shared" si="809"/>
        <v>4332</v>
      </c>
      <c r="U370" s="132">
        <f t="shared" si="795"/>
        <v>0</v>
      </c>
      <c r="V370" s="132">
        <f t="shared" si="796"/>
        <v>0</v>
      </c>
      <c r="W370" s="132">
        <f t="shared" si="797"/>
        <v>0</v>
      </c>
      <c r="X370" s="132">
        <f t="shared" si="810"/>
        <v>4332</v>
      </c>
      <c r="Y370" s="139" t="s">
        <v>702</v>
      </c>
      <c r="Z370" s="393">
        <v>1</v>
      </c>
      <c r="AC370" s="521"/>
    </row>
    <row r="371" spans="1:29" outlineLevel="2" x14ac:dyDescent="0.2">
      <c r="A371" s="495" t="s">
        <v>557</v>
      </c>
      <c r="B371" s="148"/>
      <c r="C371" s="129" t="s">
        <v>189</v>
      </c>
      <c r="D371" s="129" t="s">
        <v>192</v>
      </c>
      <c r="E371" s="184">
        <v>1021129</v>
      </c>
      <c r="F371" s="135" t="s">
        <v>792</v>
      </c>
      <c r="G371" s="135" t="s">
        <v>104</v>
      </c>
      <c r="H371" s="136" t="s">
        <v>21</v>
      </c>
      <c r="I371" s="134" t="s">
        <v>504</v>
      </c>
      <c r="J371" s="134">
        <v>1</v>
      </c>
      <c r="K371" s="134"/>
      <c r="L371" s="134"/>
      <c r="M371" s="177"/>
      <c r="N371" s="302">
        <f t="shared" si="807"/>
        <v>1</v>
      </c>
      <c r="O371" s="392">
        <v>4332</v>
      </c>
      <c r="P371" s="392">
        <v>4332</v>
      </c>
      <c r="Q371" s="392">
        <v>4332</v>
      </c>
      <c r="R371" s="392">
        <v>4332</v>
      </c>
      <c r="S371" s="132">
        <f t="shared" si="808"/>
        <v>4332</v>
      </c>
      <c r="T371" s="132">
        <f t="shared" si="809"/>
        <v>4332</v>
      </c>
      <c r="U371" s="132">
        <f t="shared" si="795"/>
        <v>0</v>
      </c>
      <c r="V371" s="132">
        <f t="shared" si="796"/>
        <v>0</v>
      </c>
      <c r="W371" s="132">
        <f t="shared" si="797"/>
        <v>0</v>
      </c>
      <c r="X371" s="132">
        <f t="shared" si="810"/>
        <v>4332</v>
      </c>
      <c r="Y371" s="139" t="s">
        <v>702</v>
      </c>
      <c r="Z371" s="393">
        <v>1</v>
      </c>
      <c r="AC371" s="521"/>
    </row>
    <row r="372" spans="1:29" ht="12.75" customHeight="1" outlineLevel="2" x14ac:dyDescent="0.2">
      <c r="A372" s="495" t="s">
        <v>557</v>
      </c>
      <c r="B372" s="150"/>
      <c r="C372" s="202" t="s">
        <v>142</v>
      </c>
      <c r="D372" s="129" t="s">
        <v>526</v>
      </c>
      <c r="E372" s="184">
        <v>1011102</v>
      </c>
      <c r="F372" s="135" t="s">
        <v>792</v>
      </c>
      <c r="G372" s="143" t="s">
        <v>104</v>
      </c>
      <c r="H372" s="143" t="s">
        <v>8</v>
      </c>
      <c r="I372" s="129" t="s">
        <v>128</v>
      </c>
      <c r="J372" s="129">
        <v>-2</v>
      </c>
      <c r="K372" s="129"/>
      <c r="L372" s="129"/>
      <c r="M372" s="177"/>
      <c r="N372" s="302">
        <f t="shared" si="788"/>
        <v>-2</v>
      </c>
      <c r="O372" s="146">
        <v>4702</v>
      </c>
      <c r="P372" s="146">
        <v>4702</v>
      </c>
      <c r="Q372" s="146">
        <v>4702</v>
      </c>
      <c r="R372" s="146">
        <v>4702</v>
      </c>
      <c r="S372" s="132">
        <f t="shared" si="789"/>
        <v>-9404</v>
      </c>
      <c r="T372" s="132">
        <f t="shared" si="798"/>
        <v>-9404</v>
      </c>
      <c r="U372" s="132">
        <f t="shared" si="795"/>
        <v>0</v>
      </c>
      <c r="V372" s="132">
        <f t="shared" si="796"/>
        <v>0</v>
      </c>
      <c r="W372" s="132">
        <f t="shared" si="797"/>
        <v>0</v>
      </c>
      <c r="X372" s="132">
        <f t="shared" si="794"/>
        <v>-9404</v>
      </c>
      <c r="Y372" s="104"/>
      <c r="AC372" s="521"/>
    </row>
    <row r="373" spans="1:29" s="152" customFormat="1" ht="12.75" customHeight="1" outlineLevel="2" x14ac:dyDescent="0.2">
      <c r="A373" s="495" t="s">
        <v>557</v>
      </c>
      <c r="B373" s="150"/>
      <c r="C373" s="156" t="s">
        <v>647</v>
      </c>
      <c r="D373" s="129" t="s">
        <v>651</v>
      </c>
      <c r="E373" s="184" t="s">
        <v>652</v>
      </c>
      <c r="F373" s="130" t="s">
        <v>108</v>
      </c>
      <c r="G373" s="143" t="s">
        <v>174</v>
      </c>
      <c r="H373" s="143" t="s">
        <v>9</v>
      </c>
      <c r="I373" s="129" t="s">
        <v>504</v>
      </c>
      <c r="J373" s="129">
        <v>3</v>
      </c>
      <c r="K373" s="129"/>
      <c r="L373" s="129"/>
      <c r="M373" s="141"/>
      <c r="N373" s="302">
        <f t="shared" ref="N373" si="811">SUM(J373:M373)</f>
        <v>3</v>
      </c>
      <c r="O373" s="392">
        <v>4728</v>
      </c>
      <c r="P373" s="392">
        <v>4728</v>
      </c>
      <c r="Q373" s="392">
        <v>4728</v>
      </c>
      <c r="R373" s="392">
        <v>4728</v>
      </c>
      <c r="S373" s="132">
        <f t="shared" ref="S373" si="812">SUMPRODUCT(J373:M373,O373:R373)</f>
        <v>14184</v>
      </c>
      <c r="T373" s="132">
        <f t="shared" ref="T373" si="813">IF(O373&gt;prisgrense,J373*prisgrense,J373*O373)</f>
        <v>14184</v>
      </c>
      <c r="U373" s="132">
        <f t="shared" ref="U373" si="814">IF(P373&gt;prisgrense,K373*prisgrense,K373*P373)</f>
        <v>0</v>
      </c>
      <c r="V373" s="132">
        <f t="shared" ref="V373" si="815">IF(Q373&gt;prisgrense,L373*prisgrense,L373*Q373)</f>
        <v>0</v>
      </c>
      <c r="W373" s="132">
        <f t="shared" ref="W373" si="816">IF(R373&gt;prisgrense,M373*prisgrense,M373*R373)</f>
        <v>0</v>
      </c>
      <c r="X373" s="132">
        <f t="shared" ref="X373" si="817">SUM(T373:W373)</f>
        <v>14184</v>
      </c>
      <c r="Y373" s="152" t="s">
        <v>824</v>
      </c>
      <c r="Z373" s="395">
        <v>8</v>
      </c>
      <c r="AC373" s="559"/>
    </row>
    <row r="374" spans="1:29" s="152" customFormat="1" ht="12.75" customHeight="1" outlineLevel="2" x14ac:dyDescent="0.2">
      <c r="A374" s="495" t="s">
        <v>557</v>
      </c>
      <c r="B374" s="150"/>
      <c r="C374" s="156" t="s">
        <v>649</v>
      </c>
      <c r="D374" s="129" t="s">
        <v>650</v>
      </c>
      <c r="E374" s="184">
        <v>11140</v>
      </c>
      <c r="F374" s="135" t="s">
        <v>108</v>
      </c>
      <c r="G374" s="135" t="s">
        <v>174</v>
      </c>
      <c r="H374" s="135" t="s">
        <v>8</v>
      </c>
      <c r="I374" s="129" t="s">
        <v>68</v>
      </c>
      <c r="J374" s="129">
        <v>20</v>
      </c>
      <c r="K374" s="129"/>
      <c r="L374" s="129"/>
      <c r="M374" s="141"/>
      <c r="N374" s="302">
        <f t="shared" ref="N374" si="818">SUM(J374:M374)</f>
        <v>20</v>
      </c>
      <c r="O374" s="392">
        <v>4202</v>
      </c>
      <c r="P374" s="392">
        <v>4202</v>
      </c>
      <c r="Q374" s="392">
        <v>4202</v>
      </c>
      <c r="R374" s="392">
        <v>4202</v>
      </c>
      <c r="S374" s="132">
        <f t="shared" ref="S374" si="819">SUMPRODUCT(J374:M374,O374:R374)</f>
        <v>84040</v>
      </c>
      <c r="T374" s="132">
        <f t="shared" ref="T374" si="820">IF(O374&gt;prisgrense,J374*prisgrense,J374*O374)</f>
        <v>84040</v>
      </c>
      <c r="U374" s="132">
        <f t="shared" ref="U374" si="821">IF(P374&gt;prisgrense,K374*prisgrense,K374*P374)</f>
        <v>0</v>
      </c>
      <c r="V374" s="132">
        <f t="shared" ref="V374" si="822">IF(Q374&gt;prisgrense,L374*prisgrense,L374*Q374)</f>
        <v>0</v>
      </c>
      <c r="W374" s="132">
        <f t="shared" ref="W374" si="823">IF(R374&gt;prisgrense,M374*prisgrense,M374*R374)</f>
        <v>0</v>
      </c>
      <c r="X374" s="132">
        <f t="shared" ref="X374" si="824">SUM(T374:W374)</f>
        <v>84040</v>
      </c>
      <c r="Y374" s="152" t="s">
        <v>907</v>
      </c>
      <c r="Z374" s="395">
        <v>8</v>
      </c>
      <c r="AC374" s="559"/>
    </row>
    <row r="375" spans="1:29" s="152" customFormat="1" ht="12.75" customHeight="1" outlineLevel="2" x14ac:dyDescent="0.2">
      <c r="A375" s="495" t="s">
        <v>557</v>
      </c>
      <c r="B375" s="150"/>
      <c r="C375" s="156" t="s">
        <v>647</v>
      </c>
      <c r="D375" s="129" t="s">
        <v>648</v>
      </c>
      <c r="E375" s="184">
        <v>11150</v>
      </c>
      <c r="F375" s="135" t="s">
        <v>108</v>
      </c>
      <c r="G375" s="135" t="s">
        <v>174</v>
      </c>
      <c r="H375" s="135" t="s">
        <v>8</v>
      </c>
      <c r="I375" s="129" t="s">
        <v>168</v>
      </c>
      <c r="J375" s="129">
        <v>3</v>
      </c>
      <c r="K375" s="129"/>
      <c r="L375" s="129"/>
      <c r="M375" s="141"/>
      <c r="N375" s="302">
        <f t="shared" ref="N375" si="825">SUM(J375:M375)</f>
        <v>3</v>
      </c>
      <c r="O375" s="392">
        <v>4202</v>
      </c>
      <c r="P375" s="392">
        <v>4202</v>
      </c>
      <c r="Q375" s="392">
        <v>4202</v>
      </c>
      <c r="R375" s="392">
        <v>4202</v>
      </c>
      <c r="S375" s="132">
        <f t="shared" ref="S375" si="826">SUMPRODUCT(J375:M375,O375:R375)</f>
        <v>12606</v>
      </c>
      <c r="T375" s="132">
        <f t="shared" ref="T375" si="827">IF(O375&gt;prisgrense,J375*prisgrense,J375*O375)</f>
        <v>12606</v>
      </c>
      <c r="U375" s="132">
        <f t="shared" ref="U375" si="828">IF(P375&gt;prisgrense,K375*prisgrense,K375*P375)</f>
        <v>0</v>
      </c>
      <c r="V375" s="132">
        <f t="shared" ref="V375" si="829">IF(Q375&gt;prisgrense,L375*prisgrense,L375*Q375)</f>
        <v>0</v>
      </c>
      <c r="W375" s="132">
        <f t="shared" ref="W375" si="830">IF(R375&gt;prisgrense,M375*prisgrense,M375*R375)</f>
        <v>0</v>
      </c>
      <c r="X375" s="132">
        <f t="shared" ref="X375" si="831">SUM(T375:W375)</f>
        <v>12606</v>
      </c>
      <c r="Y375" s="152" t="s">
        <v>824</v>
      </c>
      <c r="Z375" s="395">
        <v>8</v>
      </c>
      <c r="AC375" s="559"/>
    </row>
    <row r="376" spans="1:29" s="152" customFormat="1" ht="12.75" customHeight="1" outlineLevel="2" x14ac:dyDescent="0.2">
      <c r="A376" s="495" t="s">
        <v>557</v>
      </c>
      <c r="B376" s="150"/>
      <c r="C376" s="129" t="s">
        <v>219</v>
      </c>
      <c r="D376" s="129" t="s">
        <v>330</v>
      </c>
      <c r="E376" s="184">
        <v>3860</v>
      </c>
      <c r="F376" s="135" t="s">
        <v>108</v>
      </c>
      <c r="G376" s="135" t="s">
        <v>174</v>
      </c>
      <c r="H376" s="135" t="s">
        <v>8</v>
      </c>
      <c r="I376" s="129" t="s">
        <v>128</v>
      </c>
      <c r="J376" s="129"/>
      <c r="K376" s="129"/>
      <c r="L376" s="129"/>
      <c r="M376" s="141"/>
      <c r="N376" s="302">
        <f>SUM(J376:M376)</f>
        <v>0</v>
      </c>
      <c r="O376" s="392">
        <v>4148</v>
      </c>
      <c r="P376" s="392">
        <v>4148</v>
      </c>
      <c r="Q376" s="392">
        <v>4148</v>
      </c>
      <c r="R376" s="392">
        <v>4148</v>
      </c>
      <c r="S376" s="132">
        <f>SUMPRODUCT(J376:M376,O376:R376)</f>
        <v>0</v>
      </c>
      <c r="T376" s="132">
        <f t="shared" ref="T376:W376" si="832">IF(O376&gt;prisgrense,J376*prisgrense,J376*O376)</f>
        <v>0</v>
      </c>
      <c r="U376" s="132">
        <f t="shared" si="832"/>
        <v>0</v>
      </c>
      <c r="V376" s="132">
        <f t="shared" si="832"/>
        <v>0</v>
      </c>
      <c r="W376" s="132">
        <f t="shared" si="832"/>
        <v>0</v>
      </c>
      <c r="X376" s="132">
        <f>SUM(T376:W376)</f>
        <v>0</v>
      </c>
      <c r="Y376" s="152" t="s">
        <v>823</v>
      </c>
      <c r="Z376" s="395">
        <v>2</v>
      </c>
      <c r="AC376" s="559"/>
    </row>
    <row r="377" spans="1:29" ht="12.75" customHeight="1" outlineLevel="2" x14ac:dyDescent="0.2">
      <c r="A377" s="495" t="s">
        <v>557</v>
      </c>
      <c r="B377" s="138"/>
      <c r="C377" s="156" t="s">
        <v>346</v>
      </c>
      <c r="D377" s="129" t="s">
        <v>460</v>
      </c>
      <c r="E377" s="184">
        <v>3015</v>
      </c>
      <c r="F377" s="135" t="s">
        <v>108</v>
      </c>
      <c r="G377" s="137" t="s">
        <v>174</v>
      </c>
      <c r="H377" s="135" t="s">
        <v>8</v>
      </c>
      <c r="I377" s="129" t="s">
        <v>168</v>
      </c>
      <c r="J377" s="129"/>
      <c r="K377" s="129"/>
      <c r="L377" s="129"/>
      <c r="M377" s="141"/>
      <c r="N377" s="302">
        <f t="shared" ref="N377:N399" si="833">SUM(J377:M377)</f>
        <v>0</v>
      </c>
      <c r="O377" s="392">
        <v>4148</v>
      </c>
      <c r="P377" s="392">
        <v>4148</v>
      </c>
      <c r="Q377" s="392">
        <v>4148</v>
      </c>
      <c r="R377" s="392">
        <v>4148</v>
      </c>
      <c r="S377" s="132">
        <f t="shared" ref="S377:S399" si="834">SUMPRODUCT(J377:M377,O377:R377)</f>
        <v>0</v>
      </c>
      <c r="T377" s="132">
        <f t="shared" ref="T377:T440" si="835">IF(O377&gt;prisgrense,J377*prisgrense,J377*O377)</f>
        <v>0</v>
      </c>
      <c r="U377" s="132">
        <f t="shared" ref="U377:U440" si="836">IF(P377&gt;prisgrense,K377*prisgrense,K377*P377)</f>
        <v>0</v>
      </c>
      <c r="V377" s="132">
        <f t="shared" ref="V377:V440" si="837">IF(Q377&gt;prisgrense,L377*prisgrense,L377*Q377)</f>
        <v>0</v>
      </c>
      <c r="W377" s="132">
        <f t="shared" ref="W377:W440" si="838">IF(R377&gt;prisgrense,M377*prisgrense,M377*R377)</f>
        <v>0</v>
      </c>
      <c r="X377" s="132">
        <f t="shared" ref="X377:X399" si="839">SUM(T377:W377)</f>
        <v>0</v>
      </c>
      <c r="Y377" s="104" t="s">
        <v>631</v>
      </c>
      <c r="Z377" s="393">
        <v>8</v>
      </c>
      <c r="AC377" s="521"/>
    </row>
    <row r="378" spans="1:29" ht="12.75" customHeight="1" outlineLevel="2" x14ac:dyDescent="0.2">
      <c r="A378" s="495" t="s">
        <v>557</v>
      </c>
      <c r="B378" s="150"/>
      <c r="C378" s="156"/>
      <c r="D378" s="129" t="s">
        <v>525</v>
      </c>
      <c r="E378" s="184"/>
      <c r="F378" s="130" t="s">
        <v>108</v>
      </c>
      <c r="G378" s="137" t="s">
        <v>174</v>
      </c>
      <c r="H378" s="143" t="s">
        <v>8</v>
      </c>
      <c r="I378" s="129" t="s">
        <v>168</v>
      </c>
      <c r="J378" s="129"/>
      <c r="K378" s="129"/>
      <c r="L378" s="129"/>
      <c r="M378" s="177"/>
      <c r="N378" s="302">
        <f t="shared" si="833"/>
        <v>0</v>
      </c>
      <c r="O378" s="146">
        <v>3349</v>
      </c>
      <c r="P378" s="146">
        <v>3349</v>
      </c>
      <c r="Q378" s="146">
        <v>3349</v>
      </c>
      <c r="R378" s="146">
        <v>3349</v>
      </c>
      <c r="S378" s="132">
        <f t="shared" si="834"/>
        <v>0</v>
      </c>
      <c r="T378" s="132">
        <f t="shared" si="835"/>
        <v>0</v>
      </c>
      <c r="U378" s="132">
        <f t="shared" si="836"/>
        <v>0</v>
      </c>
      <c r="V378" s="132">
        <f t="shared" si="837"/>
        <v>0</v>
      </c>
      <c r="W378" s="132">
        <f t="shared" si="838"/>
        <v>0</v>
      </c>
      <c r="X378" s="132">
        <f t="shared" si="839"/>
        <v>0</v>
      </c>
      <c r="Y378" s="104"/>
      <c r="AC378" s="521"/>
    </row>
    <row r="379" spans="1:29" ht="12.75" customHeight="1" outlineLevel="2" x14ac:dyDescent="0.2">
      <c r="A379" s="495" t="s">
        <v>557</v>
      </c>
      <c r="B379" s="150"/>
      <c r="C379" s="156"/>
      <c r="D379" s="129" t="s">
        <v>524</v>
      </c>
      <c r="E379" s="184"/>
      <c r="F379" s="130" t="s">
        <v>108</v>
      </c>
      <c r="G379" s="137" t="s">
        <v>174</v>
      </c>
      <c r="H379" s="143" t="s">
        <v>8</v>
      </c>
      <c r="I379" s="129" t="s">
        <v>523</v>
      </c>
      <c r="J379" s="129"/>
      <c r="K379" s="129"/>
      <c r="L379" s="129"/>
      <c r="M379" s="177"/>
      <c r="N379" s="302">
        <f t="shared" si="833"/>
        <v>0</v>
      </c>
      <c r="O379" s="146">
        <v>3349</v>
      </c>
      <c r="P379" s="146">
        <v>3349</v>
      </c>
      <c r="Q379" s="146">
        <v>3349</v>
      </c>
      <c r="R379" s="146">
        <v>3349</v>
      </c>
      <c r="S379" s="132">
        <f t="shared" si="834"/>
        <v>0</v>
      </c>
      <c r="T379" s="132">
        <f t="shared" si="835"/>
        <v>0</v>
      </c>
      <c r="U379" s="132">
        <f t="shared" si="836"/>
        <v>0</v>
      </c>
      <c r="V379" s="132">
        <f t="shared" si="837"/>
        <v>0</v>
      </c>
      <c r="W379" s="132">
        <f t="shared" si="838"/>
        <v>0</v>
      </c>
      <c r="X379" s="132">
        <f t="shared" si="839"/>
        <v>0</v>
      </c>
      <c r="Y379" s="104"/>
      <c r="AC379" s="521"/>
    </row>
    <row r="380" spans="1:29" ht="12.75" customHeight="1" outlineLevel="2" x14ac:dyDescent="0.2">
      <c r="A380" s="495" t="s">
        <v>557</v>
      </c>
      <c r="B380" s="150"/>
      <c r="C380" s="202" t="s">
        <v>434</v>
      </c>
      <c r="D380" s="128" t="s">
        <v>435</v>
      </c>
      <c r="E380" s="357" t="s">
        <v>436</v>
      </c>
      <c r="F380" s="130" t="s">
        <v>106</v>
      </c>
      <c r="G380" s="143" t="s">
        <v>107</v>
      </c>
      <c r="H380" s="143" t="s">
        <v>8</v>
      </c>
      <c r="I380" s="134" t="s">
        <v>168</v>
      </c>
      <c r="J380" s="134">
        <v>1</v>
      </c>
      <c r="K380" s="134"/>
      <c r="L380" s="129"/>
      <c r="M380" s="141"/>
      <c r="N380" s="302">
        <f t="shared" ref="N380:N385" si="840">SUM(J380:M380)</f>
        <v>1</v>
      </c>
      <c r="O380" s="144">
        <v>5185</v>
      </c>
      <c r="P380" s="144">
        <v>5185</v>
      </c>
      <c r="Q380" s="144">
        <v>5185</v>
      </c>
      <c r="R380" s="144">
        <v>5185</v>
      </c>
      <c r="S380" s="132">
        <f t="shared" ref="S380:S383" si="841">SUMPRODUCT(J380:M380,O380:R380)</f>
        <v>5185</v>
      </c>
      <c r="T380" s="132">
        <f t="shared" ref="T380:W383" si="842">IF(O380&gt;prisgrense,J380*prisgrense,J380*O380)</f>
        <v>4832</v>
      </c>
      <c r="U380" s="132">
        <f t="shared" si="842"/>
        <v>0</v>
      </c>
      <c r="V380" s="132">
        <f t="shared" si="842"/>
        <v>0</v>
      </c>
      <c r="W380" s="132">
        <f t="shared" si="842"/>
        <v>0</v>
      </c>
      <c r="X380" s="132">
        <f t="shared" ref="X380:X383" si="843">SUM(T380:W380)</f>
        <v>4832</v>
      </c>
      <c r="Y380" s="104" t="s">
        <v>803</v>
      </c>
      <c r="Z380" s="393">
        <v>8</v>
      </c>
      <c r="AA380" s="104">
        <v>34</v>
      </c>
      <c r="AC380" s="521"/>
    </row>
    <row r="381" spans="1:29" ht="12.75" customHeight="1" outlineLevel="2" x14ac:dyDescent="0.2">
      <c r="A381" s="495" t="s">
        <v>557</v>
      </c>
      <c r="B381" s="150"/>
      <c r="C381" s="156" t="s">
        <v>428</v>
      </c>
      <c r="D381" s="129" t="s">
        <v>441</v>
      </c>
      <c r="E381" s="184" t="s">
        <v>442</v>
      </c>
      <c r="F381" s="130" t="s">
        <v>106</v>
      </c>
      <c r="G381" s="143" t="s">
        <v>107</v>
      </c>
      <c r="H381" s="143" t="s">
        <v>8</v>
      </c>
      <c r="I381" s="129" t="s">
        <v>68</v>
      </c>
      <c r="J381" s="129"/>
      <c r="K381" s="129"/>
      <c r="L381" s="129"/>
      <c r="M381" s="141"/>
      <c r="N381" s="302">
        <f t="shared" si="840"/>
        <v>0</v>
      </c>
      <c r="O381" s="144">
        <v>4770</v>
      </c>
      <c r="P381" s="144">
        <v>4770</v>
      </c>
      <c r="Q381" s="144">
        <v>4770</v>
      </c>
      <c r="R381" s="144">
        <v>4770</v>
      </c>
      <c r="S381" s="132">
        <f t="shared" si="841"/>
        <v>0</v>
      </c>
      <c r="T381" s="132">
        <f t="shared" si="842"/>
        <v>0</v>
      </c>
      <c r="U381" s="132">
        <f t="shared" si="842"/>
        <v>0</v>
      </c>
      <c r="V381" s="132">
        <f t="shared" si="842"/>
        <v>0</v>
      </c>
      <c r="W381" s="132">
        <f t="shared" si="842"/>
        <v>0</v>
      </c>
      <c r="X381" s="132">
        <f t="shared" si="843"/>
        <v>0</v>
      </c>
      <c r="Y381" s="104" t="s">
        <v>803</v>
      </c>
      <c r="Z381" s="393">
        <v>8</v>
      </c>
      <c r="AA381" s="104">
        <v>38</v>
      </c>
      <c r="AC381" s="521"/>
    </row>
    <row r="382" spans="1:29" ht="12.75" customHeight="1" outlineLevel="2" x14ac:dyDescent="0.2">
      <c r="A382" s="495" t="s">
        <v>557</v>
      </c>
      <c r="B382" s="150"/>
      <c r="C382" s="156" t="s">
        <v>428</v>
      </c>
      <c r="D382" s="129" t="s">
        <v>445</v>
      </c>
      <c r="E382" s="184" t="s">
        <v>446</v>
      </c>
      <c r="F382" s="130" t="s">
        <v>106</v>
      </c>
      <c r="G382" s="143" t="s">
        <v>107</v>
      </c>
      <c r="H382" s="143" t="s">
        <v>8</v>
      </c>
      <c r="I382" s="129" t="s">
        <v>68</v>
      </c>
      <c r="J382" s="129"/>
      <c r="K382" s="129"/>
      <c r="L382" s="129"/>
      <c r="M382" s="141"/>
      <c r="N382" s="302">
        <f t="shared" si="840"/>
        <v>0</v>
      </c>
      <c r="O382" s="144">
        <v>4770</v>
      </c>
      <c r="P382" s="144">
        <v>4770</v>
      </c>
      <c r="Q382" s="144">
        <v>4770</v>
      </c>
      <c r="R382" s="144">
        <v>4770</v>
      </c>
      <c r="S382" s="132">
        <f t="shared" si="841"/>
        <v>0</v>
      </c>
      <c r="T382" s="132">
        <f t="shared" si="842"/>
        <v>0</v>
      </c>
      <c r="U382" s="132">
        <f t="shared" si="842"/>
        <v>0</v>
      </c>
      <c r="V382" s="132">
        <f t="shared" si="842"/>
        <v>0</v>
      </c>
      <c r="W382" s="132">
        <f t="shared" si="842"/>
        <v>0</v>
      </c>
      <c r="X382" s="132">
        <f t="shared" si="843"/>
        <v>0</v>
      </c>
      <c r="Y382" s="104" t="s">
        <v>803</v>
      </c>
      <c r="Z382" s="393">
        <v>8</v>
      </c>
      <c r="AA382" s="104">
        <v>40</v>
      </c>
      <c r="AC382" s="521"/>
    </row>
    <row r="383" spans="1:29" ht="12.75" customHeight="1" outlineLevel="2" x14ac:dyDescent="0.2">
      <c r="A383" s="495" t="s">
        <v>557</v>
      </c>
      <c r="B383" s="150"/>
      <c r="C383" s="156" t="s">
        <v>434</v>
      </c>
      <c r="D383" s="129" t="s">
        <v>451</v>
      </c>
      <c r="E383" s="184" t="s">
        <v>452</v>
      </c>
      <c r="F383" s="130" t="s">
        <v>106</v>
      </c>
      <c r="G383" s="143" t="s">
        <v>107</v>
      </c>
      <c r="H383" s="143" t="s">
        <v>8</v>
      </c>
      <c r="I383" s="129" t="s">
        <v>68</v>
      </c>
      <c r="J383" s="129">
        <v>11</v>
      </c>
      <c r="K383" s="129"/>
      <c r="L383" s="129"/>
      <c r="M383" s="141"/>
      <c r="N383" s="302">
        <f t="shared" si="840"/>
        <v>11</v>
      </c>
      <c r="O383" s="144">
        <v>5185</v>
      </c>
      <c r="P383" s="144">
        <v>5185</v>
      </c>
      <c r="Q383" s="144">
        <v>5185</v>
      </c>
      <c r="R383" s="144">
        <v>5185</v>
      </c>
      <c r="S383" s="132">
        <f t="shared" si="841"/>
        <v>57035</v>
      </c>
      <c r="T383" s="132">
        <f t="shared" si="842"/>
        <v>53152</v>
      </c>
      <c r="U383" s="132">
        <f t="shared" si="842"/>
        <v>0</v>
      </c>
      <c r="V383" s="132">
        <f t="shared" si="842"/>
        <v>0</v>
      </c>
      <c r="W383" s="132">
        <f t="shared" si="842"/>
        <v>0</v>
      </c>
      <c r="X383" s="132">
        <f t="shared" si="843"/>
        <v>53152</v>
      </c>
      <c r="Y383" s="104" t="s">
        <v>803</v>
      </c>
      <c r="Z383" s="393">
        <v>8</v>
      </c>
      <c r="AA383" s="104">
        <v>47</v>
      </c>
      <c r="AC383" s="521"/>
    </row>
    <row r="384" spans="1:29" ht="12.75" customHeight="1" outlineLevel="2" x14ac:dyDescent="0.2">
      <c r="A384" s="495" t="s">
        <v>557</v>
      </c>
      <c r="B384" s="127"/>
      <c r="C384" s="129" t="s">
        <v>90</v>
      </c>
      <c r="D384" s="179" t="s">
        <v>143</v>
      </c>
      <c r="E384" s="184" t="s">
        <v>366</v>
      </c>
      <c r="F384" s="130" t="s">
        <v>106</v>
      </c>
      <c r="G384" s="143" t="s">
        <v>113</v>
      </c>
      <c r="H384" s="133" t="s">
        <v>134</v>
      </c>
      <c r="I384" s="134" t="s">
        <v>504</v>
      </c>
      <c r="J384" s="134"/>
      <c r="K384" s="134"/>
      <c r="L384" s="129"/>
      <c r="M384" s="141"/>
      <c r="N384" s="302">
        <f t="shared" si="840"/>
        <v>0</v>
      </c>
      <c r="O384" s="144">
        <v>33184</v>
      </c>
      <c r="P384" s="144">
        <v>33184</v>
      </c>
      <c r="Q384" s="144">
        <v>33184</v>
      </c>
      <c r="R384" s="144">
        <v>33184</v>
      </c>
      <c r="S384" s="132">
        <f t="shared" ref="S384" si="844">SUMPRODUCT(J384:M384,O384:R384)</f>
        <v>0</v>
      </c>
      <c r="T384" s="132">
        <f t="shared" ref="T384:W384" si="845">J384*O384</f>
        <v>0</v>
      </c>
      <c r="U384" s="132">
        <f t="shared" si="845"/>
        <v>0</v>
      </c>
      <c r="V384" s="132">
        <f t="shared" si="845"/>
        <v>0</v>
      </c>
      <c r="W384" s="132">
        <f t="shared" si="845"/>
        <v>0</v>
      </c>
      <c r="X384" s="132">
        <f t="shared" ref="X384" si="846">SUM(T384:W384)</f>
        <v>0</v>
      </c>
      <c r="Y384" s="104" t="s">
        <v>728</v>
      </c>
      <c r="Z384" s="393">
        <v>5</v>
      </c>
      <c r="AC384" s="521"/>
    </row>
    <row r="385" spans="1:29" ht="12.75" customHeight="1" outlineLevel="2" x14ac:dyDescent="0.2">
      <c r="A385" s="495" t="s">
        <v>557</v>
      </c>
      <c r="B385" s="150"/>
      <c r="C385" s="129" t="s">
        <v>404</v>
      </c>
      <c r="D385" s="129" t="s">
        <v>407</v>
      </c>
      <c r="E385" s="184">
        <v>124820</v>
      </c>
      <c r="F385" s="130" t="s">
        <v>106</v>
      </c>
      <c r="G385" s="143" t="s">
        <v>107</v>
      </c>
      <c r="H385" s="133" t="s">
        <v>8</v>
      </c>
      <c r="I385" s="134" t="s">
        <v>68</v>
      </c>
      <c r="J385" s="134"/>
      <c r="K385" s="134"/>
      <c r="L385" s="129"/>
      <c r="M385" s="141"/>
      <c r="N385" s="302">
        <f t="shared" si="840"/>
        <v>0</v>
      </c>
      <c r="O385" s="146">
        <v>4900</v>
      </c>
      <c r="P385" s="146">
        <v>4900</v>
      </c>
      <c r="Q385" s="146">
        <v>4900</v>
      </c>
      <c r="R385" s="146">
        <v>4900</v>
      </c>
      <c r="S385" s="132">
        <f>SUMPRODUCT(J385:M385,O385:R385)</f>
        <v>0</v>
      </c>
      <c r="T385" s="132">
        <f>IF(O385&gt;prisgrense,J385*prisgrense,J385*O385)</f>
        <v>0</v>
      </c>
      <c r="U385" s="132">
        <f>IF(P385&gt;prisgrense,K385*prisgrense,K385*P385)</f>
        <v>0</v>
      </c>
      <c r="V385" s="132">
        <f>IF(Q385&gt;prisgrense,L385*prisgrense,L385*Q385)</f>
        <v>0</v>
      </c>
      <c r="W385" s="132">
        <f>IF(R385&gt;prisgrense,M385*prisgrense,M385*R385)</f>
        <v>0</v>
      </c>
      <c r="X385" s="132">
        <f>SUM(T385:W385)</f>
        <v>0</v>
      </c>
      <c r="Y385" s="104" t="s">
        <v>690</v>
      </c>
      <c r="Z385" s="393">
        <v>7</v>
      </c>
      <c r="AC385" s="521"/>
    </row>
    <row r="386" spans="1:29" ht="12.75" customHeight="1" outlineLevel="2" x14ac:dyDescent="0.2">
      <c r="A386" s="495" t="s">
        <v>557</v>
      </c>
      <c r="B386" s="150"/>
      <c r="C386" s="156"/>
      <c r="D386" s="129" t="s">
        <v>518</v>
      </c>
      <c r="E386" s="184"/>
      <c r="F386" s="130" t="s">
        <v>106</v>
      </c>
      <c r="G386" s="143" t="s">
        <v>107</v>
      </c>
      <c r="H386" s="143" t="s">
        <v>8</v>
      </c>
      <c r="I386" s="129" t="s">
        <v>168</v>
      </c>
      <c r="J386" s="129"/>
      <c r="K386" s="129"/>
      <c r="L386" s="129"/>
      <c r="M386" s="141"/>
      <c r="N386" s="302">
        <f t="shared" si="833"/>
        <v>0</v>
      </c>
      <c r="O386" s="146">
        <v>4450</v>
      </c>
      <c r="P386" s="146">
        <v>4450</v>
      </c>
      <c r="Q386" s="146">
        <v>4450</v>
      </c>
      <c r="R386" s="146">
        <v>4450</v>
      </c>
      <c r="S386" s="132">
        <f t="shared" si="834"/>
        <v>0</v>
      </c>
      <c r="T386" s="132">
        <f t="shared" si="835"/>
        <v>0</v>
      </c>
      <c r="U386" s="132">
        <f t="shared" si="836"/>
        <v>0</v>
      </c>
      <c r="V386" s="132">
        <f t="shared" si="837"/>
        <v>0</v>
      </c>
      <c r="W386" s="132">
        <f t="shared" si="838"/>
        <v>0</v>
      </c>
      <c r="X386" s="132">
        <f t="shared" si="839"/>
        <v>0</v>
      </c>
      <c r="Y386" s="104"/>
      <c r="AC386" s="521"/>
    </row>
    <row r="387" spans="1:29" ht="12.75" customHeight="1" outlineLevel="2" x14ac:dyDescent="0.2">
      <c r="A387" s="495" t="s">
        <v>557</v>
      </c>
      <c r="B387" s="150"/>
      <c r="C387" s="156"/>
      <c r="D387" s="129" t="s">
        <v>517</v>
      </c>
      <c r="E387" s="184"/>
      <c r="F387" s="130" t="s">
        <v>106</v>
      </c>
      <c r="G387" s="143" t="s">
        <v>107</v>
      </c>
      <c r="H387" s="143" t="s">
        <v>8</v>
      </c>
      <c r="I387" s="129" t="s">
        <v>168</v>
      </c>
      <c r="J387" s="129"/>
      <c r="K387" s="129"/>
      <c r="L387" s="129"/>
      <c r="M387" s="141"/>
      <c r="N387" s="302">
        <f t="shared" si="833"/>
        <v>0</v>
      </c>
      <c r="O387" s="146">
        <v>4450</v>
      </c>
      <c r="P387" s="146">
        <v>4450</v>
      </c>
      <c r="Q387" s="146">
        <v>4450</v>
      </c>
      <c r="R387" s="146">
        <v>4450</v>
      </c>
      <c r="S387" s="132">
        <f t="shared" si="834"/>
        <v>0</v>
      </c>
      <c r="T387" s="132">
        <f t="shared" si="835"/>
        <v>0</v>
      </c>
      <c r="U387" s="132">
        <f t="shared" si="836"/>
        <v>0</v>
      </c>
      <c r="V387" s="132">
        <f t="shared" si="837"/>
        <v>0</v>
      </c>
      <c r="W387" s="132">
        <f t="shared" si="838"/>
        <v>0</v>
      </c>
      <c r="X387" s="132">
        <f t="shared" si="839"/>
        <v>0</v>
      </c>
      <c r="Y387" s="104"/>
      <c r="AC387" s="521"/>
    </row>
    <row r="388" spans="1:29" ht="12.75" customHeight="1" outlineLevel="2" x14ac:dyDescent="0.2">
      <c r="A388" s="495" t="s">
        <v>557</v>
      </c>
      <c r="B388" s="150"/>
      <c r="C388" s="156"/>
      <c r="D388" s="129" t="s">
        <v>521</v>
      </c>
      <c r="E388" s="184"/>
      <c r="F388" s="130" t="s">
        <v>106</v>
      </c>
      <c r="G388" s="143" t="s">
        <v>107</v>
      </c>
      <c r="H388" s="143" t="s">
        <v>21</v>
      </c>
      <c r="I388" s="129" t="s">
        <v>504</v>
      </c>
      <c r="J388" s="129"/>
      <c r="K388" s="129"/>
      <c r="L388" s="129"/>
      <c r="M388" s="141"/>
      <c r="N388" s="302">
        <f t="shared" si="833"/>
        <v>0</v>
      </c>
      <c r="O388" s="146">
        <v>4450</v>
      </c>
      <c r="P388" s="146">
        <v>4450</v>
      </c>
      <c r="Q388" s="146">
        <v>4450</v>
      </c>
      <c r="R388" s="146">
        <v>4450</v>
      </c>
      <c r="S388" s="132">
        <f t="shared" si="834"/>
        <v>0</v>
      </c>
      <c r="T388" s="132">
        <f t="shared" si="835"/>
        <v>0</v>
      </c>
      <c r="U388" s="132">
        <f t="shared" si="836"/>
        <v>0</v>
      </c>
      <c r="V388" s="132">
        <f t="shared" si="837"/>
        <v>0</v>
      </c>
      <c r="W388" s="132">
        <f t="shared" si="838"/>
        <v>0</v>
      </c>
      <c r="X388" s="132">
        <f t="shared" si="839"/>
        <v>0</v>
      </c>
      <c r="Y388" s="104"/>
      <c r="AC388" s="521"/>
    </row>
    <row r="389" spans="1:29" ht="12.75" customHeight="1" outlineLevel="2" x14ac:dyDescent="0.2">
      <c r="A389" s="495" t="s">
        <v>557</v>
      </c>
      <c r="B389" s="150"/>
      <c r="C389" s="156"/>
      <c r="D389" s="129" t="s">
        <v>520</v>
      </c>
      <c r="E389" s="184"/>
      <c r="F389" s="130" t="s">
        <v>106</v>
      </c>
      <c r="G389" s="143" t="s">
        <v>107</v>
      </c>
      <c r="H389" s="143" t="s">
        <v>9</v>
      </c>
      <c r="I389" s="129" t="s">
        <v>504</v>
      </c>
      <c r="J389" s="129"/>
      <c r="K389" s="129"/>
      <c r="L389" s="129"/>
      <c r="M389" s="141"/>
      <c r="N389" s="302">
        <f t="shared" si="833"/>
        <v>0</v>
      </c>
      <c r="O389" s="146">
        <v>4450</v>
      </c>
      <c r="P389" s="146">
        <v>4450</v>
      </c>
      <c r="Q389" s="146">
        <v>4450</v>
      </c>
      <c r="R389" s="146">
        <v>4450</v>
      </c>
      <c r="S389" s="132">
        <f t="shared" si="834"/>
        <v>0</v>
      </c>
      <c r="T389" s="132">
        <f t="shared" si="835"/>
        <v>0</v>
      </c>
      <c r="U389" s="132">
        <f t="shared" si="836"/>
        <v>0</v>
      </c>
      <c r="V389" s="132">
        <f t="shared" si="837"/>
        <v>0</v>
      </c>
      <c r="W389" s="132">
        <f t="shared" si="838"/>
        <v>0</v>
      </c>
      <c r="X389" s="132">
        <f t="shared" si="839"/>
        <v>0</v>
      </c>
      <c r="Y389" s="104"/>
      <c r="AC389" s="521"/>
    </row>
    <row r="390" spans="1:29" ht="12.75" customHeight="1" outlineLevel="2" x14ac:dyDescent="0.2">
      <c r="A390" s="495" t="s">
        <v>557</v>
      </c>
      <c r="B390" s="150"/>
      <c r="C390" s="156"/>
      <c r="D390" s="128" t="s">
        <v>511</v>
      </c>
      <c r="E390" s="357"/>
      <c r="F390" s="130" t="s">
        <v>106</v>
      </c>
      <c r="G390" s="143" t="s">
        <v>107</v>
      </c>
      <c r="H390" s="143" t="s">
        <v>8</v>
      </c>
      <c r="I390" s="129" t="s">
        <v>168</v>
      </c>
      <c r="J390" s="129">
        <v>2</v>
      </c>
      <c r="K390" s="129"/>
      <c r="L390" s="129"/>
      <c r="M390" s="141"/>
      <c r="N390" s="302">
        <f t="shared" si="833"/>
        <v>2</v>
      </c>
      <c r="O390" s="146">
        <v>5057</v>
      </c>
      <c r="P390" s="146">
        <v>5057</v>
      </c>
      <c r="Q390" s="146">
        <v>5057</v>
      </c>
      <c r="R390" s="146">
        <v>5057</v>
      </c>
      <c r="S390" s="132">
        <f t="shared" si="834"/>
        <v>10114</v>
      </c>
      <c r="T390" s="132">
        <f t="shared" si="835"/>
        <v>9664</v>
      </c>
      <c r="U390" s="132">
        <f t="shared" si="836"/>
        <v>0</v>
      </c>
      <c r="V390" s="132">
        <f t="shared" si="837"/>
        <v>0</v>
      </c>
      <c r="W390" s="132">
        <f t="shared" si="838"/>
        <v>0</v>
      </c>
      <c r="X390" s="132">
        <f t="shared" si="839"/>
        <v>9664</v>
      </c>
      <c r="Y390" s="104"/>
      <c r="AC390" s="521"/>
    </row>
    <row r="391" spans="1:29" ht="12.75" customHeight="1" outlineLevel="2" x14ac:dyDescent="0.2">
      <c r="A391" s="495" t="s">
        <v>557</v>
      </c>
      <c r="B391" s="150"/>
      <c r="C391" s="156"/>
      <c r="D391" s="129" t="s">
        <v>510</v>
      </c>
      <c r="E391" s="184"/>
      <c r="F391" s="130" t="s">
        <v>106</v>
      </c>
      <c r="G391" s="143" t="s">
        <v>107</v>
      </c>
      <c r="H391" s="143" t="s">
        <v>8</v>
      </c>
      <c r="I391" s="129" t="s">
        <v>168</v>
      </c>
      <c r="J391" s="129"/>
      <c r="K391" s="129"/>
      <c r="L391" s="129"/>
      <c r="M391" s="141"/>
      <c r="N391" s="302">
        <f t="shared" si="833"/>
        <v>0</v>
      </c>
      <c r="O391" s="146">
        <v>5057</v>
      </c>
      <c r="P391" s="146">
        <v>5057</v>
      </c>
      <c r="Q391" s="146">
        <v>5057</v>
      </c>
      <c r="R391" s="146">
        <v>5057</v>
      </c>
      <c r="S391" s="132">
        <f t="shared" si="834"/>
        <v>0</v>
      </c>
      <c r="T391" s="132">
        <f t="shared" si="835"/>
        <v>0</v>
      </c>
      <c r="U391" s="132">
        <f t="shared" si="836"/>
        <v>0</v>
      </c>
      <c r="V391" s="132">
        <f t="shared" si="837"/>
        <v>0</v>
      </c>
      <c r="W391" s="132">
        <f t="shared" si="838"/>
        <v>0</v>
      </c>
      <c r="X391" s="132">
        <f t="shared" si="839"/>
        <v>0</v>
      </c>
      <c r="Y391" s="104"/>
      <c r="AC391" s="521"/>
    </row>
    <row r="392" spans="1:29" ht="12.75" customHeight="1" outlineLevel="2" x14ac:dyDescent="0.2">
      <c r="A392" s="495" t="s">
        <v>557</v>
      </c>
      <c r="B392" s="150"/>
      <c r="C392" s="156"/>
      <c r="D392" s="129" t="s">
        <v>514</v>
      </c>
      <c r="E392" s="184"/>
      <c r="F392" s="130" t="s">
        <v>106</v>
      </c>
      <c r="G392" s="143" t="s">
        <v>107</v>
      </c>
      <c r="H392" s="143" t="s">
        <v>21</v>
      </c>
      <c r="I392" s="129" t="s">
        <v>504</v>
      </c>
      <c r="J392" s="129"/>
      <c r="K392" s="129"/>
      <c r="L392" s="129"/>
      <c r="M392" s="141"/>
      <c r="N392" s="302">
        <f t="shared" si="833"/>
        <v>0</v>
      </c>
      <c r="O392" s="146">
        <v>5057</v>
      </c>
      <c r="P392" s="146">
        <v>5057</v>
      </c>
      <c r="Q392" s="146">
        <v>5057</v>
      </c>
      <c r="R392" s="146">
        <v>5057</v>
      </c>
      <c r="S392" s="132">
        <f t="shared" si="834"/>
        <v>0</v>
      </c>
      <c r="T392" s="132">
        <f t="shared" si="835"/>
        <v>0</v>
      </c>
      <c r="U392" s="132">
        <f t="shared" si="836"/>
        <v>0</v>
      </c>
      <c r="V392" s="132">
        <f t="shared" si="837"/>
        <v>0</v>
      </c>
      <c r="W392" s="132">
        <f t="shared" si="838"/>
        <v>0</v>
      </c>
      <c r="X392" s="132">
        <f t="shared" si="839"/>
        <v>0</v>
      </c>
      <c r="Y392" s="104"/>
      <c r="AC392" s="521"/>
    </row>
    <row r="393" spans="1:29" ht="12.75" customHeight="1" outlineLevel="2" x14ac:dyDescent="0.2">
      <c r="A393" s="495" t="s">
        <v>557</v>
      </c>
      <c r="B393" s="150"/>
      <c r="C393" s="156"/>
      <c r="D393" s="129" t="s">
        <v>513</v>
      </c>
      <c r="E393" s="184"/>
      <c r="F393" s="130" t="s">
        <v>106</v>
      </c>
      <c r="G393" s="143" t="s">
        <v>107</v>
      </c>
      <c r="H393" s="143" t="s">
        <v>9</v>
      </c>
      <c r="I393" s="129" t="s">
        <v>504</v>
      </c>
      <c r="J393" s="129">
        <v>2</v>
      </c>
      <c r="K393" s="129"/>
      <c r="L393" s="129"/>
      <c r="M393" s="141"/>
      <c r="N393" s="302">
        <f t="shared" si="833"/>
        <v>2</v>
      </c>
      <c r="O393" s="146">
        <v>5057</v>
      </c>
      <c r="P393" s="146">
        <v>5057</v>
      </c>
      <c r="Q393" s="146">
        <v>5057</v>
      </c>
      <c r="R393" s="146">
        <v>5057</v>
      </c>
      <c r="S393" s="132">
        <f t="shared" si="834"/>
        <v>10114</v>
      </c>
      <c r="T393" s="132">
        <f t="shared" si="835"/>
        <v>9664</v>
      </c>
      <c r="U393" s="132">
        <f t="shared" si="836"/>
        <v>0</v>
      </c>
      <c r="V393" s="132">
        <f t="shared" si="837"/>
        <v>0</v>
      </c>
      <c r="W393" s="132">
        <f t="shared" si="838"/>
        <v>0</v>
      </c>
      <c r="X393" s="132">
        <f t="shared" si="839"/>
        <v>9664</v>
      </c>
      <c r="Y393" s="104"/>
      <c r="AC393" s="521"/>
    </row>
    <row r="394" spans="1:29" ht="12.75" customHeight="1" outlineLevel="2" x14ac:dyDescent="0.2">
      <c r="A394" s="495" t="s">
        <v>557</v>
      </c>
      <c r="B394" s="150"/>
      <c r="C394" s="156"/>
      <c r="D394" s="129" t="s">
        <v>512</v>
      </c>
      <c r="E394" s="184"/>
      <c r="F394" s="130" t="s">
        <v>106</v>
      </c>
      <c r="G394" s="143" t="s">
        <v>107</v>
      </c>
      <c r="H394" s="143" t="s">
        <v>8</v>
      </c>
      <c r="I394" s="129" t="s">
        <v>68</v>
      </c>
      <c r="J394" s="129">
        <v>6</v>
      </c>
      <c r="K394" s="129"/>
      <c r="L394" s="129"/>
      <c r="M394" s="141"/>
      <c r="N394" s="302">
        <f t="shared" si="833"/>
        <v>6</v>
      </c>
      <c r="O394" s="146">
        <v>5057</v>
      </c>
      <c r="P394" s="146">
        <v>5057</v>
      </c>
      <c r="Q394" s="146">
        <v>5057</v>
      </c>
      <c r="R394" s="146">
        <v>5057</v>
      </c>
      <c r="S394" s="132">
        <f t="shared" si="834"/>
        <v>30342</v>
      </c>
      <c r="T394" s="132">
        <f t="shared" si="835"/>
        <v>28992</v>
      </c>
      <c r="U394" s="132">
        <f t="shared" si="836"/>
        <v>0</v>
      </c>
      <c r="V394" s="132">
        <f t="shared" si="837"/>
        <v>0</v>
      </c>
      <c r="W394" s="132">
        <f t="shared" si="838"/>
        <v>0</v>
      </c>
      <c r="X394" s="132">
        <f t="shared" si="839"/>
        <v>28992</v>
      </c>
      <c r="Y394" s="104"/>
      <c r="AC394" s="521"/>
    </row>
    <row r="395" spans="1:29" ht="12.75" customHeight="1" outlineLevel="2" x14ac:dyDescent="0.2">
      <c r="A395" s="495" t="s">
        <v>557</v>
      </c>
      <c r="B395" s="150"/>
      <c r="C395" s="156"/>
      <c r="D395" s="129" t="s">
        <v>519</v>
      </c>
      <c r="E395" s="184"/>
      <c r="F395" s="130" t="s">
        <v>106</v>
      </c>
      <c r="G395" s="143" t="s">
        <v>107</v>
      </c>
      <c r="H395" s="143" t="s">
        <v>8</v>
      </c>
      <c r="I395" s="129" t="s">
        <v>68</v>
      </c>
      <c r="J395" s="129"/>
      <c r="K395" s="129"/>
      <c r="L395" s="129"/>
      <c r="M395" s="141"/>
      <c r="N395" s="302">
        <f t="shared" si="833"/>
        <v>0</v>
      </c>
      <c r="O395" s="146">
        <v>4450</v>
      </c>
      <c r="P395" s="146">
        <v>4450</v>
      </c>
      <c r="Q395" s="146">
        <v>4450</v>
      </c>
      <c r="R395" s="146">
        <v>4450</v>
      </c>
      <c r="S395" s="132">
        <f t="shared" si="834"/>
        <v>0</v>
      </c>
      <c r="T395" s="132">
        <f t="shared" si="835"/>
        <v>0</v>
      </c>
      <c r="U395" s="132">
        <f t="shared" si="836"/>
        <v>0</v>
      </c>
      <c r="V395" s="132">
        <f t="shared" si="837"/>
        <v>0</v>
      </c>
      <c r="W395" s="132">
        <f t="shared" si="838"/>
        <v>0</v>
      </c>
      <c r="X395" s="132">
        <f t="shared" si="839"/>
        <v>0</v>
      </c>
      <c r="Y395" s="104"/>
      <c r="AC395" s="521"/>
    </row>
    <row r="396" spans="1:29" ht="12.75" customHeight="1" outlineLevel="2" x14ac:dyDescent="0.2">
      <c r="A396" s="495" t="s">
        <v>557</v>
      </c>
      <c r="B396" s="150"/>
      <c r="C396" s="156"/>
      <c r="D396" s="129" t="s">
        <v>95</v>
      </c>
      <c r="E396" s="184">
        <v>20070</v>
      </c>
      <c r="F396" s="130" t="s">
        <v>106</v>
      </c>
      <c r="G396" s="143" t="s">
        <v>107</v>
      </c>
      <c r="H396" s="143" t="s">
        <v>8</v>
      </c>
      <c r="I396" s="129" t="s">
        <v>128</v>
      </c>
      <c r="J396" s="129"/>
      <c r="K396" s="129"/>
      <c r="L396" s="129"/>
      <c r="M396" s="141"/>
      <c r="N396" s="302">
        <f t="shared" si="833"/>
        <v>0</v>
      </c>
      <c r="O396" s="146">
        <v>3500</v>
      </c>
      <c r="P396" s="146">
        <v>3500</v>
      </c>
      <c r="Q396" s="146">
        <v>3500</v>
      </c>
      <c r="R396" s="146">
        <v>3500</v>
      </c>
      <c r="S396" s="132">
        <f t="shared" si="834"/>
        <v>0</v>
      </c>
      <c r="T396" s="132">
        <f t="shared" si="835"/>
        <v>0</v>
      </c>
      <c r="U396" s="132">
        <f t="shared" si="836"/>
        <v>0</v>
      </c>
      <c r="V396" s="132">
        <f t="shared" si="837"/>
        <v>0</v>
      </c>
      <c r="W396" s="132">
        <f t="shared" si="838"/>
        <v>0</v>
      </c>
      <c r="X396" s="132">
        <f t="shared" si="839"/>
        <v>0</v>
      </c>
      <c r="Y396" s="104"/>
      <c r="AC396" s="521"/>
    </row>
    <row r="397" spans="1:29" ht="12.75" customHeight="1" outlineLevel="2" x14ac:dyDescent="0.2">
      <c r="A397" s="495" t="s">
        <v>557</v>
      </c>
      <c r="B397" s="150"/>
      <c r="C397" s="156"/>
      <c r="D397" s="129" t="s">
        <v>96</v>
      </c>
      <c r="E397" s="184">
        <v>20090</v>
      </c>
      <c r="F397" s="130" t="s">
        <v>106</v>
      </c>
      <c r="G397" s="143" t="s">
        <v>107</v>
      </c>
      <c r="H397" s="143" t="s">
        <v>8</v>
      </c>
      <c r="I397" s="129" t="s">
        <v>128</v>
      </c>
      <c r="J397" s="129"/>
      <c r="K397" s="129"/>
      <c r="L397" s="129"/>
      <c r="M397" s="141"/>
      <c r="N397" s="302">
        <f t="shared" si="833"/>
        <v>0</v>
      </c>
      <c r="O397" s="144">
        <v>4148</v>
      </c>
      <c r="P397" s="144">
        <v>4148</v>
      </c>
      <c r="Q397" s="144">
        <v>4148</v>
      </c>
      <c r="R397" s="144">
        <v>4148</v>
      </c>
      <c r="S397" s="132">
        <f t="shared" si="834"/>
        <v>0</v>
      </c>
      <c r="T397" s="132">
        <f t="shared" si="835"/>
        <v>0</v>
      </c>
      <c r="U397" s="132">
        <f t="shared" si="836"/>
        <v>0</v>
      </c>
      <c r="V397" s="132">
        <f t="shared" si="837"/>
        <v>0</v>
      </c>
      <c r="W397" s="132">
        <f t="shared" si="838"/>
        <v>0</v>
      </c>
      <c r="X397" s="132">
        <f t="shared" si="839"/>
        <v>0</v>
      </c>
      <c r="Y397" s="104" t="s">
        <v>544</v>
      </c>
      <c r="AC397" s="521"/>
    </row>
    <row r="398" spans="1:29" ht="12.75" customHeight="1" outlineLevel="2" x14ac:dyDescent="0.2">
      <c r="A398" s="495" t="s">
        <v>557</v>
      </c>
      <c r="B398" s="150"/>
      <c r="C398" s="156"/>
      <c r="D398" s="129" t="s">
        <v>516</v>
      </c>
      <c r="E398" s="184"/>
      <c r="F398" s="130" t="s">
        <v>106</v>
      </c>
      <c r="G398" s="143" t="s">
        <v>107</v>
      </c>
      <c r="H398" s="143" t="s">
        <v>8</v>
      </c>
      <c r="I398" s="129" t="s">
        <v>68</v>
      </c>
      <c r="J398" s="129">
        <v>2</v>
      </c>
      <c r="K398" s="129"/>
      <c r="L398" s="129"/>
      <c r="M398" s="141"/>
      <c r="N398" s="302">
        <f t="shared" si="833"/>
        <v>2</v>
      </c>
      <c r="O398" s="146">
        <v>4728</v>
      </c>
      <c r="P398" s="146">
        <v>4728</v>
      </c>
      <c r="Q398" s="146">
        <v>4728</v>
      </c>
      <c r="R398" s="146">
        <v>4728</v>
      </c>
      <c r="S398" s="132">
        <f t="shared" si="834"/>
        <v>9456</v>
      </c>
      <c r="T398" s="132">
        <f t="shared" si="835"/>
        <v>9456</v>
      </c>
      <c r="U398" s="132">
        <f t="shared" si="836"/>
        <v>0</v>
      </c>
      <c r="V398" s="132">
        <f t="shared" si="837"/>
        <v>0</v>
      </c>
      <c r="W398" s="132">
        <f t="shared" si="838"/>
        <v>0</v>
      </c>
      <c r="X398" s="132">
        <f t="shared" si="839"/>
        <v>9456</v>
      </c>
      <c r="Y398" s="104"/>
      <c r="AC398" s="521"/>
    </row>
    <row r="399" spans="1:29" ht="12.75" customHeight="1" outlineLevel="2" x14ac:dyDescent="0.2">
      <c r="A399" s="495" t="s">
        <v>557</v>
      </c>
      <c r="B399" s="150"/>
      <c r="C399" s="156"/>
      <c r="D399" s="129" t="s">
        <v>515</v>
      </c>
      <c r="E399" s="184"/>
      <c r="F399" s="130" t="s">
        <v>106</v>
      </c>
      <c r="G399" s="143" t="s">
        <v>107</v>
      </c>
      <c r="H399" s="143" t="s">
        <v>8</v>
      </c>
      <c r="I399" s="129" t="s">
        <v>68</v>
      </c>
      <c r="J399" s="129"/>
      <c r="K399" s="129"/>
      <c r="L399" s="129"/>
      <c r="M399" s="141"/>
      <c r="N399" s="302">
        <f t="shared" si="833"/>
        <v>0</v>
      </c>
      <c r="O399" s="146">
        <v>4728</v>
      </c>
      <c r="P399" s="146">
        <v>4728</v>
      </c>
      <c r="Q399" s="146">
        <v>4728</v>
      </c>
      <c r="R399" s="146">
        <v>4728</v>
      </c>
      <c r="S399" s="132">
        <f t="shared" si="834"/>
        <v>0</v>
      </c>
      <c r="T399" s="132">
        <f t="shared" si="835"/>
        <v>0</v>
      </c>
      <c r="U399" s="132">
        <f t="shared" si="836"/>
        <v>0</v>
      </c>
      <c r="V399" s="132">
        <f t="shared" si="837"/>
        <v>0</v>
      </c>
      <c r="W399" s="132">
        <f t="shared" si="838"/>
        <v>0</v>
      </c>
      <c r="X399" s="132">
        <f t="shared" si="839"/>
        <v>0</v>
      </c>
      <c r="Y399" s="104"/>
      <c r="AC399" s="521"/>
    </row>
    <row r="400" spans="1:29" ht="12.75" customHeight="1" outlineLevel="2" x14ac:dyDescent="0.2">
      <c r="A400" s="495" t="s">
        <v>557</v>
      </c>
      <c r="B400" s="150"/>
      <c r="C400" s="156">
        <v>7</v>
      </c>
      <c r="D400" s="129" t="s">
        <v>605</v>
      </c>
      <c r="E400" s="184" t="s">
        <v>606</v>
      </c>
      <c r="F400" s="135" t="s">
        <v>151</v>
      </c>
      <c r="G400" s="135" t="s">
        <v>83</v>
      </c>
      <c r="H400" s="135" t="s">
        <v>8</v>
      </c>
      <c r="I400" s="129" t="s">
        <v>68</v>
      </c>
      <c r="J400" s="129">
        <v>18</v>
      </c>
      <c r="K400" s="129"/>
      <c r="L400" s="129"/>
      <c r="M400" s="485"/>
      <c r="N400" s="302">
        <f t="shared" ref="N400" si="847">SUM(J400:M400)</f>
        <v>18</v>
      </c>
      <c r="O400" s="146">
        <v>4770</v>
      </c>
      <c r="P400" s="146">
        <v>4770</v>
      </c>
      <c r="Q400" s="146">
        <v>4770</v>
      </c>
      <c r="R400" s="146">
        <v>4770</v>
      </c>
      <c r="S400" s="132">
        <f t="shared" ref="S400" si="848">SUMPRODUCT(J400:M400,O400:R400)</f>
        <v>85860</v>
      </c>
      <c r="T400" s="132">
        <f t="shared" ref="T400" si="849">IF(O400&gt;prisgrense,J400*prisgrense,J400*O400)</f>
        <v>85860</v>
      </c>
      <c r="U400" s="132">
        <f t="shared" ref="U400" si="850">IF(P400&gt;prisgrense,K400*prisgrense,K400*P400)</f>
        <v>0</v>
      </c>
      <c r="V400" s="132">
        <f t="shared" ref="V400" si="851">IF(Q400&gt;prisgrense,L400*prisgrense,L400*Q400)</f>
        <v>0</v>
      </c>
      <c r="W400" s="132">
        <f t="shared" ref="W400" si="852">IF(R400&gt;prisgrense,M400*prisgrense,M400*R400)</f>
        <v>0</v>
      </c>
      <c r="X400" s="132">
        <f t="shared" ref="X400" si="853">SUM(T400:W400)</f>
        <v>85860</v>
      </c>
      <c r="Y400" s="104" t="s">
        <v>927</v>
      </c>
      <c r="Z400" s="393">
        <v>8</v>
      </c>
      <c r="AC400" s="521"/>
    </row>
    <row r="401" spans="1:215" s="152" customFormat="1" ht="12.75" customHeight="1" outlineLevel="2" x14ac:dyDescent="0.2">
      <c r="A401" s="495" t="s">
        <v>557</v>
      </c>
      <c r="B401" s="150"/>
      <c r="C401" s="156">
        <v>5</v>
      </c>
      <c r="D401" s="129" t="s">
        <v>437</v>
      </c>
      <c r="E401" s="184" t="s">
        <v>438</v>
      </c>
      <c r="F401" s="135" t="s">
        <v>151</v>
      </c>
      <c r="G401" s="135" t="s">
        <v>83</v>
      </c>
      <c r="H401" s="135" t="s">
        <v>8</v>
      </c>
      <c r="I401" s="129" t="s">
        <v>68</v>
      </c>
      <c r="J401" s="129"/>
      <c r="K401" s="129"/>
      <c r="L401" s="129"/>
      <c r="M401" s="141"/>
      <c r="N401" s="302">
        <f>SUM(J401:M401)</f>
        <v>0</v>
      </c>
      <c r="O401" s="146">
        <v>3887</v>
      </c>
      <c r="P401" s="146">
        <v>3887</v>
      </c>
      <c r="Q401" s="146">
        <v>3887</v>
      </c>
      <c r="R401" s="146">
        <v>3887</v>
      </c>
      <c r="S401" s="132">
        <f>SUMPRODUCT(J401:M401,O401:R401)</f>
        <v>0</v>
      </c>
      <c r="T401" s="132">
        <f t="shared" ref="T401:W402" si="854">IF(O401&gt;prisgrense,J401*prisgrense,J401*O401)</f>
        <v>0</v>
      </c>
      <c r="U401" s="132">
        <f t="shared" si="854"/>
        <v>0</v>
      </c>
      <c r="V401" s="132">
        <f t="shared" si="854"/>
        <v>0</v>
      </c>
      <c r="W401" s="132">
        <f t="shared" si="854"/>
        <v>0</v>
      </c>
      <c r="X401" s="132">
        <f>SUM(T401:W401)</f>
        <v>0</v>
      </c>
      <c r="Y401" s="152" t="s">
        <v>926</v>
      </c>
      <c r="Z401" s="395">
        <v>8</v>
      </c>
      <c r="AC401" s="559"/>
    </row>
    <row r="402" spans="1:215" s="152" customFormat="1" ht="12.75" customHeight="1" outlineLevel="2" x14ac:dyDescent="0.2">
      <c r="A402" s="495" t="s">
        <v>557</v>
      </c>
      <c r="B402" s="150"/>
      <c r="C402" s="156">
        <v>7</v>
      </c>
      <c r="D402" s="129" t="s">
        <v>737</v>
      </c>
      <c r="E402" s="184" t="s">
        <v>738</v>
      </c>
      <c r="F402" s="135" t="s">
        <v>151</v>
      </c>
      <c r="G402" s="137" t="s">
        <v>697</v>
      </c>
      <c r="H402" s="135" t="s">
        <v>21</v>
      </c>
      <c r="I402" s="129" t="s">
        <v>504</v>
      </c>
      <c r="J402" s="129">
        <v>130</v>
      </c>
      <c r="K402" s="129"/>
      <c r="L402" s="129"/>
      <c r="M402" s="141"/>
      <c r="N402" s="302">
        <f>SUM(J402:M402)</f>
        <v>130</v>
      </c>
      <c r="O402" s="146">
        <v>4770</v>
      </c>
      <c r="P402" s="146">
        <v>4770</v>
      </c>
      <c r="Q402" s="146">
        <v>4770</v>
      </c>
      <c r="R402" s="146">
        <v>4770</v>
      </c>
      <c r="S402" s="132">
        <f>SUMPRODUCT(J402:M402,O402:R402)</f>
        <v>620100</v>
      </c>
      <c r="T402" s="132">
        <f t="shared" si="854"/>
        <v>620100</v>
      </c>
      <c r="U402" s="132">
        <f t="shared" si="854"/>
        <v>0</v>
      </c>
      <c r="V402" s="132">
        <f t="shared" si="854"/>
        <v>0</v>
      </c>
      <c r="W402" s="132">
        <f t="shared" si="854"/>
        <v>0</v>
      </c>
      <c r="X402" s="132">
        <f>SUM(T402:W402)</f>
        <v>620100</v>
      </c>
      <c r="Y402" s="157" t="s">
        <v>958</v>
      </c>
      <c r="Z402" s="395">
        <v>8</v>
      </c>
      <c r="AC402" s="559"/>
    </row>
    <row r="403" spans="1:215" ht="12.75" customHeight="1" outlineLevel="2" x14ac:dyDescent="0.2">
      <c r="A403" s="495" t="s">
        <v>557</v>
      </c>
      <c r="B403" s="150"/>
      <c r="C403" s="156">
        <v>7</v>
      </c>
      <c r="D403" s="129" t="s">
        <v>601</v>
      </c>
      <c r="E403" s="184"/>
      <c r="F403" s="135" t="s">
        <v>151</v>
      </c>
      <c r="G403" s="135" t="s">
        <v>83</v>
      </c>
      <c r="H403" s="136" t="s">
        <v>8</v>
      </c>
      <c r="I403" s="177" t="s">
        <v>68</v>
      </c>
      <c r="J403" s="177"/>
      <c r="K403" s="177"/>
      <c r="L403" s="134"/>
      <c r="M403" s="177"/>
      <c r="N403" s="302">
        <f t="shared" ref="N403" si="855">SUM(J403:M403)</f>
        <v>0</v>
      </c>
      <c r="O403" s="146">
        <v>4770</v>
      </c>
      <c r="P403" s="146">
        <v>4770</v>
      </c>
      <c r="Q403" s="146">
        <v>4770</v>
      </c>
      <c r="R403" s="146">
        <v>4770</v>
      </c>
      <c r="S403" s="132">
        <f t="shared" ref="S403" si="856">SUMPRODUCT(J403:M403,O403:R403)</f>
        <v>0</v>
      </c>
      <c r="T403" s="132">
        <f t="shared" ref="T403" si="857">IF(O403&gt;prisgrense,J403*prisgrense,J403*O403)</f>
        <v>0</v>
      </c>
      <c r="U403" s="132">
        <f t="shared" ref="U403" si="858">IF(P403&gt;prisgrense,K403*prisgrense,K403*P403)</f>
        <v>0</v>
      </c>
      <c r="V403" s="132">
        <f t="shared" ref="V403" si="859">IF(Q403&gt;prisgrense,L403*prisgrense,L403*Q403)</f>
        <v>0</v>
      </c>
      <c r="W403" s="132">
        <f t="shared" ref="W403" si="860">IF(R403&gt;prisgrense,M403*prisgrense,M403*R403)</f>
        <v>0</v>
      </c>
      <c r="X403" s="132">
        <f t="shared" ref="X403" si="861">SUM(T403:W403)</f>
        <v>0</v>
      </c>
      <c r="Y403" s="104" t="s">
        <v>922</v>
      </c>
      <c r="Z403" s="393">
        <v>4</v>
      </c>
      <c r="AC403" s="521"/>
    </row>
    <row r="404" spans="1:215" ht="12.75" customHeight="1" outlineLevel="2" x14ac:dyDescent="0.2">
      <c r="A404" s="495" t="s">
        <v>557</v>
      </c>
      <c r="B404" s="150"/>
      <c r="C404" s="156">
        <v>5</v>
      </c>
      <c r="D404" s="129" t="s">
        <v>691</v>
      </c>
      <c r="E404" s="184"/>
      <c r="F404" s="135" t="s">
        <v>151</v>
      </c>
      <c r="G404" s="135" t="s">
        <v>83</v>
      </c>
      <c r="H404" s="136" t="s">
        <v>8</v>
      </c>
      <c r="I404" s="134" t="s">
        <v>68</v>
      </c>
      <c r="J404" s="134"/>
      <c r="K404" s="134"/>
      <c r="L404" s="134"/>
      <c r="M404" s="177"/>
      <c r="N404" s="302">
        <f t="shared" ref="N404" si="862">SUM(J404:M404)</f>
        <v>0</v>
      </c>
      <c r="O404" s="146">
        <v>4770</v>
      </c>
      <c r="P404" s="146">
        <v>4770</v>
      </c>
      <c r="Q404" s="146">
        <v>4770</v>
      </c>
      <c r="R404" s="146">
        <v>4770</v>
      </c>
      <c r="S404" s="132">
        <f t="shared" ref="S404" si="863">SUMPRODUCT(J404:M404,O404:R404)</f>
        <v>0</v>
      </c>
      <c r="T404" s="132">
        <f t="shared" ref="T404" si="864">IF(O404&gt;prisgrense,J404*prisgrense,J404*O404)</f>
        <v>0</v>
      </c>
      <c r="U404" s="132">
        <f t="shared" ref="U404" si="865">IF(P404&gt;prisgrense,K404*prisgrense,K404*P404)</f>
        <v>0</v>
      </c>
      <c r="V404" s="132">
        <f t="shared" ref="V404" si="866">IF(Q404&gt;prisgrense,L404*prisgrense,L404*Q404)</f>
        <v>0</v>
      </c>
      <c r="W404" s="132">
        <f t="shared" ref="W404" si="867">IF(R404&gt;prisgrense,M404*prisgrense,M404*R404)</f>
        <v>0</v>
      </c>
      <c r="X404" s="132">
        <f t="shared" ref="X404" si="868">SUM(T404:W404)</f>
        <v>0</v>
      </c>
      <c r="Y404" s="104" t="s">
        <v>919</v>
      </c>
      <c r="Z404" s="393">
        <v>4</v>
      </c>
      <c r="AC404" s="521"/>
    </row>
    <row r="405" spans="1:215" ht="12.75" customHeight="1" outlineLevel="2" x14ac:dyDescent="0.2">
      <c r="A405" s="495" t="s">
        <v>557</v>
      </c>
      <c r="B405" s="150"/>
      <c r="C405" s="156">
        <v>7</v>
      </c>
      <c r="D405" s="129" t="s">
        <v>779</v>
      </c>
      <c r="E405" s="184" t="s">
        <v>780</v>
      </c>
      <c r="F405" s="135" t="s">
        <v>151</v>
      </c>
      <c r="G405" s="137" t="s">
        <v>781</v>
      </c>
      <c r="H405" s="135" t="s">
        <v>8</v>
      </c>
      <c r="I405" s="129" t="s">
        <v>68</v>
      </c>
      <c r="J405" s="129">
        <v>3</v>
      </c>
      <c r="K405" s="129"/>
      <c r="L405" s="134"/>
      <c r="M405" s="141"/>
      <c r="N405" s="302">
        <f t="shared" ref="N405" si="869">SUM(J405:M405)</f>
        <v>3</v>
      </c>
      <c r="O405" s="146">
        <v>4770</v>
      </c>
      <c r="P405" s="146">
        <v>4770</v>
      </c>
      <c r="Q405" s="146">
        <v>4770</v>
      </c>
      <c r="R405" s="146">
        <v>4770</v>
      </c>
      <c r="S405" s="132">
        <f t="shared" ref="S405" si="870">SUMPRODUCT(J405:M405,O405:R405)</f>
        <v>14310</v>
      </c>
      <c r="T405" s="132">
        <f t="shared" ref="T405" si="871">IF(O405&gt;prisgrense,J405*prisgrense,J405*O405)</f>
        <v>14310</v>
      </c>
      <c r="U405" s="132">
        <f t="shared" ref="U405" si="872">IF(P405&gt;prisgrense,K405*prisgrense,K405*P405)</f>
        <v>0</v>
      </c>
      <c r="V405" s="132">
        <f t="shared" ref="V405" si="873">IF(Q405&gt;prisgrense,L405*prisgrense,L405*Q405)</f>
        <v>0</v>
      </c>
      <c r="W405" s="132">
        <f t="shared" ref="W405" si="874">IF(R405&gt;prisgrense,M405*prisgrense,M405*R405)</f>
        <v>0</v>
      </c>
      <c r="X405" s="132">
        <f t="shared" ref="X405" si="875">SUM(T405:W405)</f>
        <v>14310</v>
      </c>
      <c r="Y405" s="104" t="s">
        <v>834</v>
      </c>
      <c r="Z405" s="393">
        <v>8</v>
      </c>
      <c r="AA405" s="104" t="s">
        <v>762</v>
      </c>
      <c r="AC405" s="521"/>
    </row>
    <row r="406" spans="1:215" ht="12.75" customHeight="1" outlineLevel="2" x14ac:dyDescent="0.2">
      <c r="A406" s="495" t="s">
        <v>557</v>
      </c>
      <c r="B406" s="150"/>
      <c r="C406" s="156">
        <v>7</v>
      </c>
      <c r="D406" s="129" t="s">
        <v>733</v>
      </c>
      <c r="E406" s="184" t="s">
        <v>734</v>
      </c>
      <c r="F406" s="135" t="s">
        <v>151</v>
      </c>
      <c r="G406" s="137" t="s">
        <v>697</v>
      </c>
      <c r="H406" s="135" t="s">
        <v>8</v>
      </c>
      <c r="I406" s="129" t="s">
        <v>68</v>
      </c>
      <c r="J406" s="129">
        <v>4</v>
      </c>
      <c r="K406" s="129"/>
      <c r="L406" s="134"/>
      <c r="M406" s="141"/>
      <c r="N406" s="302">
        <f t="shared" ref="N406:N407" si="876">SUM(J406:M406)</f>
        <v>4</v>
      </c>
      <c r="O406" s="146">
        <v>4770</v>
      </c>
      <c r="P406" s="146">
        <v>4770</v>
      </c>
      <c r="Q406" s="146">
        <v>4770</v>
      </c>
      <c r="R406" s="146">
        <v>4770</v>
      </c>
      <c r="S406" s="132">
        <f t="shared" ref="S406:S412" si="877">SUMPRODUCT(J406:M406,O406:R406)</f>
        <v>19080</v>
      </c>
      <c r="T406" s="132">
        <f t="shared" ref="T406:W407" si="878">IF(O406&gt;prisgrense,J406*prisgrense,J406*O406)</f>
        <v>19080</v>
      </c>
      <c r="U406" s="132">
        <f t="shared" si="878"/>
        <v>0</v>
      </c>
      <c r="V406" s="132">
        <f t="shared" si="878"/>
        <v>0</v>
      </c>
      <c r="W406" s="132">
        <f t="shared" si="878"/>
        <v>0</v>
      </c>
      <c r="X406" s="132">
        <f t="shared" ref="X406:X412" si="879">SUM(T406:W406)</f>
        <v>19080</v>
      </c>
      <c r="Y406" s="104" t="s">
        <v>834</v>
      </c>
      <c r="AA406" s="104" t="s">
        <v>735</v>
      </c>
      <c r="AC406" s="521"/>
    </row>
    <row r="407" spans="1:215" s="152" customFormat="1" ht="12.75" customHeight="1" outlineLevel="2" x14ac:dyDescent="0.2">
      <c r="A407" s="495" t="s">
        <v>557</v>
      </c>
      <c r="B407" s="150"/>
      <c r="C407" s="156">
        <v>7</v>
      </c>
      <c r="D407" s="129" t="s">
        <v>256</v>
      </c>
      <c r="E407" s="184" t="s">
        <v>257</v>
      </c>
      <c r="F407" s="135" t="s">
        <v>151</v>
      </c>
      <c r="G407" s="135" t="s">
        <v>83</v>
      </c>
      <c r="H407" s="135" t="s">
        <v>8</v>
      </c>
      <c r="I407" s="141" t="s">
        <v>68</v>
      </c>
      <c r="J407" s="141">
        <v>68</v>
      </c>
      <c r="K407" s="141"/>
      <c r="L407" s="129"/>
      <c r="M407" s="141"/>
      <c r="N407" s="302">
        <f t="shared" si="876"/>
        <v>68</v>
      </c>
      <c r="O407" s="146">
        <v>4770</v>
      </c>
      <c r="P407" s="146">
        <v>4770</v>
      </c>
      <c r="Q407" s="146">
        <v>4770</v>
      </c>
      <c r="R407" s="146">
        <v>4770</v>
      </c>
      <c r="S407" s="132">
        <f t="shared" si="877"/>
        <v>324360</v>
      </c>
      <c r="T407" s="132">
        <f t="shared" si="878"/>
        <v>324360</v>
      </c>
      <c r="U407" s="132">
        <f t="shared" si="878"/>
        <v>0</v>
      </c>
      <c r="V407" s="132">
        <f t="shared" si="878"/>
        <v>0</v>
      </c>
      <c r="W407" s="132">
        <f t="shared" si="878"/>
        <v>0</v>
      </c>
      <c r="X407" s="132">
        <f t="shared" si="879"/>
        <v>324360</v>
      </c>
      <c r="Y407" s="152" t="s">
        <v>834</v>
      </c>
      <c r="Z407" s="395">
        <v>4</v>
      </c>
      <c r="AC407" s="559"/>
    </row>
    <row r="408" spans="1:215" ht="12.75" customHeight="1" outlineLevel="2" x14ac:dyDescent="0.2">
      <c r="A408" s="495" t="s">
        <v>557</v>
      </c>
      <c r="B408" s="150"/>
      <c r="C408" s="156" t="s">
        <v>132</v>
      </c>
      <c r="D408" s="428" t="s">
        <v>269</v>
      </c>
      <c r="E408" s="184" t="s">
        <v>270</v>
      </c>
      <c r="F408" s="135" t="s">
        <v>151</v>
      </c>
      <c r="G408" s="143" t="s">
        <v>83</v>
      </c>
      <c r="H408" s="133" t="s">
        <v>8</v>
      </c>
      <c r="I408" s="134" t="s">
        <v>168</v>
      </c>
      <c r="J408" s="134"/>
      <c r="K408" s="134"/>
      <c r="L408" s="134"/>
      <c r="M408" s="485"/>
      <c r="N408" s="302">
        <f t="shared" ref="N408:N410" si="880">SUM(J408:M408)</f>
        <v>0</v>
      </c>
      <c r="O408" s="146">
        <v>3630</v>
      </c>
      <c r="P408" s="146">
        <v>3630</v>
      </c>
      <c r="Q408" s="146">
        <v>3630</v>
      </c>
      <c r="R408" s="146">
        <v>3630</v>
      </c>
      <c r="S408" s="132">
        <f t="shared" si="877"/>
        <v>0</v>
      </c>
      <c r="T408" s="132">
        <f t="shared" ref="T408:W410" si="881">IF(O408&gt;prisgrense,J408*prisgrense,J408*O408)</f>
        <v>0</v>
      </c>
      <c r="U408" s="132">
        <f t="shared" si="881"/>
        <v>0</v>
      </c>
      <c r="V408" s="132">
        <f t="shared" si="881"/>
        <v>0</v>
      </c>
      <c r="W408" s="132">
        <f t="shared" si="881"/>
        <v>0</v>
      </c>
      <c r="X408" s="132">
        <f t="shared" si="879"/>
        <v>0</v>
      </c>
      <c r="Y408" s="104" t="s">
        <v>834</v>
      </c>
      <c r="Z408" s="394">
        <v>1</v>
      </c>
      <c r="AA408" s="139"/>
      <c r="AB408" s="139"/>
      <c r="AC408" s="521"/>
      <c r="AD408" s="139"/>
      <c r="AE408" s="139"/>
      <c r="AF408" s="139"/>
      <c r="AG408" s="139"/>
      <c r="AH408" s="139"/>
      <c r="AI408" s="139"/>
      <c r="AJ408" s="139"/>
      <c r="AK408" s="139"/>
      <c r="AL408" s="139"/>
      <c r="AM408" s="139"/>
      <c r="AN408" s="139"/>
      <c r="AO408" s="139"/>
      <c r="AP408" s="139"/>
      <c r="AQ408" s="139"/>
      <c r="AR408" s="139"/>
      <c r="AS408" s="139"/>
      <c r="AT408" s="139"/>
      <c r="AU408" s="139"/>
      <c r="AV408" s="139"/>
      <c r="AW408" s="139"/>
      <c r="AX408" s="139"/>
      <c r="AY408" s="139"/>
      <c r="AZ408" s="139"/>
      <c r="BA408" s="139"/>
      <c r="BB408" s="139"/>
      <c r="BC408" s="139"/>
      <c r="BD408" s="139"/>
      <c r="BE408" s="139"/>
      <c r="BF408" s="139"/>
      <c r="BG408" s="139"/>
      <c r="BH408" s="139"/>
      <c r="BI408" s="139"/>
      <c r="BJ408" s="139"/>
      <c r="BK408" s="139"/>
      <c r="BL408" s="139"/>
      <c r="BM408" s="139"/>
      <c r="BN408" s="139"/>
      <c r="BO408" s="139"/>
      <c r="BP408" s="139"/>
      <c r="BQ408" s="139"/>
      <c r="BR408" s="139"/>
      <c r="BS408" s="139"/>
      <c r="BT408" s="139"/>
      <c r="BU408" s="139"/>
      <c r="BV408" s="139"/>
      <c r="BW408" s="139"/>
      <c r="BX408" s="139"/>
      <c r="BY408" s="139"/>
      <c r="BZ408" s="139"/>
      <c r="CA408" s="139"/>
      <c r="CB408" s="139"/>
      <c r="CC408" s="139"/>
      <c r="CD408" s="139"/>
      <c r="CE408" s="139"/>
      <c r="CF408" s="139"/>
      <c r="CG408" s="139"/>
      <c r="CH408" s="139"/>
      <c r="CI408" s="139"/>
      <c r="CJ408" s="139"/>
      <c r="CK408" s="139"/>
      <c r="CL408" s="139"/>
      <c r="CM408" s="139"/>
      <c r="CN408" s="139"/>
      <c r="CO408" s="139"/>
      <c r="CP408" s="139"/>
      <c r="CQ408" s="139"/>
      <c r="CR408" s="139"/>
      <c r="CS408" s="139"/>
      <c r="CT408" s="139"/>
      <c r="CU408" s="139"/>
      <c r="CV408" s="139"/>
      <c r="CW408" s="139"/>
      <c r="CX408" s="139"/>
      <c r="CY408" s="139"/>
      <c r="CZ408" s="139"/>
      <c r="DA408" s="139"/>
      <c r="DB408" s="139"/>
      <c r="DC408" s="139"/>
      <c r="DD408" s="139"/>
      <c r="DE408" s="139"/>
      <c r="DF408" s="139"/>
      <c r="DG408" s="139"/>
      <c r="DH408" s="139"/>
      <c r="DI408" s="139"/>
      <c r="DJ408" s="139"/>
      <c r="DK408" s="139"/>
      <c r="DL408" s="139"/>
      <c r="DM408" s="139"/>
      <c r="DN408" s="139"/>
      <c r="DO408" s="139"/>
      <c r="DP408" s="139"/>
      <c r="DQ408" s="139"/>
      <c r="DR408" s="139"/>
      <c r="DS408" s="139"/>
      <c r="DT408" s="139"/>
      <c r="DU408" s="139"/>
      <c r="DV408" s="139"/>
      <c r="DW408" s="139"/>
      <c r="DX408" s="139"/>
      <c r="DY408" s="139"/>
      <c r="DZ408" s="139"/>
      <c r="EA408" s="139"/>
      <c r="EB408" s="139"/>
      <c r="EC408" s="139"/>
      <c r="ED408" s="139"/>
      <c r="EE408" s="139"/>
      <c r="EF408" s="139"/>
      <c r="EG408" s="139"/>
      <c r="EH408" s="139"/>
      <c r="EI408" s="139"/>
      <c r="EJ408" s="139"/>
      <c r="EK408" s="139"/>
      <c r="EL408" s="139"/>
      <c r="EM408" s="139"/>
      <c r="EN408" s="139"/>
      <c r="EO408" s="139"/>
      <c r="EP408" s="139"/>
      <c r="EQ408" s="139"/>
      <c r="ER408" s="139"/>
      <c r="ES408" s="139"/>
      <c r="ET408" s="139"/>
      <c r="EU408" s="139"/>
      <c r="EV408" s="139"/>
      <c r="EW408" s="139"/>
      <c r="EX408" s="139"/>
      <c r="EY408" s="139"/>
      <c r="EZ408" s="139"/>
      <c r="FA408" s="139"/>
      <c r="FB408" s="139"/>
      <c r="FC408" s="139"/>
      <c r="FD408" s="139"/>
      <c r="FE408" s="139"/>
      <c r="FF408" s="139"/>
      <c r="FG408" s="139"/>
      <c r="FH408" s="139"/>
      <c r="FI408" s="139"/>
      <c r="FJ408" s="139"/>
      <c r="FK408" s="139"/>
      <c r="FL408" s="139"/>
      <c r="FM408" s="139"/>
      <c r="FN408" s="139"/>
      <c r="FO408" s="139"/>
      <c r="FP408" s="139"/>
      <c r="FQ408" s="139"/>
      <c r="FR408" s="139"/>
      <c r="FS408" s="139"/>
      <c r="FT408" s="139"/>
      <c r="FU408" s="139"/>
      <c r="FV408" s="139"/>
      <c r="FW408" s="139"/>
      <c r="FX408" s="139"/>
      <c r="FY408" s="139"/>
      <c r="FZ408" s="139"/>
      <c r="GA408" s="139"/>
      <c r="GB408" s="139"/>
      <c r="GC408" s="139"/>
      <c r="GD408" s="139"/>
      <c r="GE408" s="139"/>
      <c r="GF408" s="139"/>
      <c r="GG408" s="139"/>
      <c r="GH408" s="139"/>
      <c r="GI408" s="139"/>
      <c r="GJ408" s="139"/>
      <c r="GK408" s="139"/>
      <c r="GL408" s="139"/>
      <c r="GM408" s="139"/>
      <c r="GN408" s="139"/>
      <c r="GO408" s="139"/>
      <c r="GP408" s="139"/>
      <c r="GQ408" s="139"/>
      <c r="GR408" s="139"/>
      <c r="GS408" s="139"/>
      <c r="GT408" s="139"/>
      <c r="GU408" s="139"/>
      <c r="GV408" s="139"/>
      <c r="GW408" s="139"/>
      <c r="GX408" s="139"/>
      <c r="GY408" s="139"/>
      <c r="GZ408" s="139"/>
      <c r="HA408" s="139"/>
      <c r="HB408" s="139"/>
      <c r="HC408" s="139"/>
      <c r="HD408" s="139"/>
      <c r="HE408" s="139"/>
      <c r="HF408" s="139"/>
      <c r="HG408" s="139"/>
    </row>
    <row r="409" spans="1:215" s="139" customFormat="1" ht="12.75" customHeight="1" outlineLevel="2" x14ac:dyDescent="0.2">
      <c r="A409" s="495" t="s">
        <v>557</v>
      </c>
      <c r="B409" s="150"/>
      <c r="C409" s="156" t="s">
        <v>132</v>
      </c>
      <c r="D409" s="129" t="s">
        <v>271</v>
      </c>
      <c r="E409" s="184" t="s">
        <v>272</v>
      </c>
      <c r="F409" s="135" t="s">
        <v>151</v>
      </c>
      <c r="G409" s="135" t="s">
        <v>83</v>
      </c>
      <c r="H409" s="136" t="s">
        <v>8</v>
      </c>
      <c r="I409" s="134" t="s">
        <v>68</v>
      </c>
      <c r="J409" s="134">
        <v>20</v>
      </c>
      <c r="K409" s="134"/>
      <c r="L409" s="134"/>
      <c r="M409" s="485"/>
      <c r="N409" s="302">
        <f t="shared" si="880"/>
        <v>20</v>
      </c>
      <c r="O409" s="146">
        <v>3630</v>
      </c>
      <c r="P409" s="146">
        <v>3630</v>
      </c>
      <c r="Q409" s="146">
        <v>3630</v>
      </c>
      <c r="R409" s="146">
        <v>3630</v>
      </c>
      <c r="S409" s="132">
        <f t="shared" si="877"/>
        <v>72600</v>
      </c>
      <c r="T409" s="132">
        <f t="shared" si="881"/>
        <v>72600</v>
      </c>
      <c r="U409" s="132">
        <f t="shared" si="881"/>
        <v>0</v>
      </c>
      <c r="V409" s="132">
        <f t="shared" si="881"/>
        <v>0</v>
      </c>
      <c r="W409" s="132">
        <f t="shared" si="881"/>
        <v>0</v>
      </c>
      <c r="X409" s="132">
        <f t="shared" si="879"/>
        <v>72600</v>
      </c>
      <c r="Y409" s="104" t="s">
        <v>834</v>
      </c>
      <c r="Z409" s="393">
        <v>1</v>
      </c>
      <c r="AA409" s="104"/>
      <c r="AB409" s="104"/>
      <c r="AC409" s="521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  <c r="BI409" s="104"/>
      <c r="BJ409" s="104"/>
      <c r="BK409" s="104"/>
      <c r="BL409" s="104"/>
      <c r="BM409" s="104"/>
      <c r="BN409" s="104"/>
      <c r="BO409" s="104"/>
      <c r="BP409" s="104"/>
      <c r="BQ409" s="104"/>
      <c r="BR409" s="104"/>
      <c r="BS409" s="104"/>
      <c r="BT409" s="104"/>
      <c r="BU409" s="104"/>
      <c r="BV409" s="104"/>
      <c r="BW409" s="104"/>
      <c r="BX409" s="104"/>
      <c r="BY409" s="104"/>
      <c r="BZ409" s="104"/>
      <c r="CA409" s="104"/>
      <c r="CB409" s="104"/>
      <c r="CC409" s="104"/>
      <c r="CD409" s="104"/>
      <c r="CE409" s="104"/>
      <c r="CF409" s="104"/>
      <c r="CG409" s="104"/>
      <c r="CH409" s="104"/>
      <c r="CI409" s="104"/>
      <c r="CJ409" s="104"/>
      <c r="CK409" s="104"/>
      <c r="CL409" s="104"/>
      <c r="CM409" s="104"/>
      <c r="CN409" s="104"/>
      <c r="CO409" s="104"/>
      <c r="CP409" s="104"/>
      <c r="CQ409" s="104"/>
      <c r="CR409" s="104"/>
      <c r="CS409" s="104"/>
      <c r="CT409" s="104"/>
      <c r="CU409" s="104"/>
      <c r="CV409" s="104"/>
      <c r="CW409" s="104"/>
      <c r="CX409" s="104"/>
      <c r="CY409" s="104"/>
      <c r="CZ409" s="104"/>
      <c r="DA409" s="104"/>
      <c r="DB409" s="104"/>
      <c r="DC409" s="104"/>
      <c r="DD409" s="104"/>
      <c r="DE409" s="104"/>
      <c r="DF409" s="104"/>
      <c r="DG409" s="104"/>
      <c r="DH409" s="104"/>
      <c r="DI409" s="104"/>
      <c r="DJ409" s="104"/>
      <c r="DK409" s="104"/>
      <c r="DL409" s="104"/>
      <c r="DM409" s="104"/>
      <c r="DN409" s="104"/>
      <c r="DO409" s="104"/>
      <c r="DP409" s="104"/>
      <c r="DQ409" s="104"/>
      <c r="DR409" s="104"/>
      <c r="DS409" s="104"/>
      <c r="DT409" s="104"/>
      <c r="DU409" s="104"/>
      <c r="DV409" s="104"/>
      <c r="DW409" s="104"/>
      <c r="DX409" s="104"/>
      <c r="DY409" s="104"/>
      <c r="DZ409" s="104"/>
      <c r="EA409" s="104"/>
      <c r="EB409" s="104"/>
      <c r="EC409" s="104"/>
      <c r="ED409" s="104"/>
      <c r="EE409" s="104"/>
      <c r="EF409" s="104"/>
      <c r="EG409" s="104"/>
      <c r="EH409" s="104"/>
      <c r="EI409" s="104"/>
      <c r="EJ409" s="104"/>
      <c r="EK409" s="104"/>
      <c r="EL409" s="104"/>
      <c r="EM409" s="104"/>
      <c r="EN409" s="104"/>
      <c r="EO409" s="104"/>
      <c r="EP409" s="104"/>
      <c r="EQ409" s="104"/>
      <c r="ER409" s="104"/>
      <c r="ES409" s="104"/>
      <c r="ET409" s="104"/>
      <c r="EU409" s="104"/>
      <c r="EV409" s="104"/>
      <c r="EW409" s="104"/>
      <c r="EX409" s="104"/>
      <c r="EY409" s="104"/>
      <c r="EZ409" s="104"/>
      <c r="FA409" s="104"/>
      <c r="FB409" s="104"/>
      <c r="FC409" s="104"/>
      <c r="FD409" s="104"/>
      <c r="FE409" s="104"/>
      <c r="FF409" s="104"/>
      <c r="FG409" s="104"/>
      <c r="FH409" s="104"/>
      <c r="FI409" s="104"/>
      <c r="FJ409" s="104"/>
      <c r="FK409" s="104"/>
      <c r="FL409" s="104"/>
      <c r="FM409" s="104"/>
      <c r="FN409" s="104"/>
      <c r="FO409" s="104"/>
      <c r="FP409" s="104"/>
      <c r="FQ409" s="104"/>
      <c r="FR409" s="104"/>
      <c r="FS409" s="104"/>
      <c r="FT409" s="104"/>
      <c r="FU409" s="104"/>
      <c r="FV409" s="104"/>
      <c r="FW409" s="104"/>
      <c r="FX409" s="104"/>
      <c r="FY409" s="104"/>
      <c r="FZ409" s="104"/>
      <c r="GA409" s="104"/>
      <c r="GB409" s="104"/>
      <c r="GC409" s="104"/>
      <c r="GD409" s="104"/>
      <c r="GE409" s="104"/>
      <c r="GF409" s="104"/>
      <c r="GG409" s="104"/>
      <c r="GH409" s="104"/>
      <c r="GI409" s="104"/>
      <c r="GJ409" s="104"/>
      <c r="GK409" s="104"/>
      <c r="GL409" s="104"/>
      <c r="GM409" s="104"/>
      <c r="GN409" s="104"/>
      <c r="GO409" s="104"/>
      <c r="GP409" s="104"/>
      <c r="GQ409" s="104"/>
      <c r="GR409" s="104"/>
      <c r="GS409" s="104"/>
      <c r="GT409" s="104"/>
      <c r="GU409" s="104"/>
      <c r="GV409" s="104"/>
      <c r="GW409" s="104"/>
      <c r="GX409" s="104"/>
      <c r="GY409" s="104"/>
      <c r="GZ409" s="104"/>
      <c r="HA409" s="104"/>
      <c r="HB409" s="104"/>
      <c r="HC409" s="104"/>
      <c r="HD409" s="104"/>
      <c r="HE409" s="104"/>
      <c r="HF409" s="104"/>
      <c r="HG409" s="104"/>
    </row>
    <row r="410" spans="1:215" ht="12.75" customHeight="1" outlineLevel="2" x14ac:dyDescent="0.2">
      <c r="A410" s="495" t="s">
        <v>557</v>
      </c>
      <c r="B410" s="150"/>
      <c r="C410" s="156" t="s">
        <v>132</v>
      </c>
      <c r="D410" s="129" t="s">
        <v>273</v>
      </c>
      <c r="E410" s="184" t="s">
        <v>274</v>
      </c>
      <c r="F410" s="135" t="s">
        <v>151</v>
      </c>
      <c r="G410" s="135" t="s">
        <v>83</v>
      </c>
      <c r="H410" s="136" t="s">
        <v>8</v>
      </c>
      <c r="I410" s="134" t="s">
        <v>168</v>
      </c>
      <c r="J410" s="134"/>
      <c r="L410" s="134"/>
      <c r="M410" s="485"/>
      <c r="N410" s="302">
        <f t="shared" si="880"/>
        <v>0</v>
      </c>
      <c r="O410" s="146">
        <v>4148</v>
      </c>
      <c r="P410" s="146">
        <v>4148</v>
      </c>
      <c r="Q410" s="146">
        <v>4148</v>
      </c>
      <c r="R410" s="146">
        <v>4148</v>
      </c>
      <c r="S410" s="132">
        <f t="shared" si="877"/>
        <v>0</v>
      </c>
      <c r="T410" s="132">
        <f t="shared" si="881"/>
        <v>0</v>
      </c>
      <c r="U410" s="132">
        <f t="shared" si="881"/>
        <v>0</v>
      </c>
      <c r="V410" s="132">
        <f t="shared" si="881"/>
        <v>0</v>
      </c>
      <c r="W410" s="132">
        <f t="shared" si="881"/>
        <v>0</v>
      </c>
      <c r="X410" s="132">
        <f t="shared" si="879"/>
        <v>0</v>
      </c>
      <c r="Y410" s="104" t="s">
        <v>834</v>
      </c>
      <c r="Z410" s="393">
        <v>1</v>
      </c>
      <c r="AC410" s="521"/>
    </row>
    <row r="411" spans="1:215" ht="12.75" customHeight="1" outlineLevel="2" x14ac:dyDescent="0.2">
      <c r="A411" s="495" t="s">
        <v>557</v>
      </c>
      <c r="B411" s="150"/>
      <c r="C411" s="156">
        <v>7</v>
      </c>
      <c r="D411" s="129" t="s">
        <v>419</v>
      </c>
      <c r="E411" s="184" t="s">
        <v>259</v>
      </c>
      <c r="F411" s="135" t="s">
        <v>151</v>
      </c>
      <c r="G411" s="137" t="s">
        <v>83</v>
      </c>
      <c r="H411" s="135" t="s">
        <v>8</v>
      </c>
      <c r="I411" s="129" t="s">
        <v>68</v>
      </c>
      <c r="J411" s="129">
        <v>5</v>
      </c>
      <c r="K411" s="134"/>
      <c r="L411" s="134"/>
      <c r="M411" s="141"/>
      <c r="N411" s="302">
        <f>SUM(J411:M411)</f>
        <v>5</v>
      </c>
      <c r="O411" s="146">
        <v>4770</v>
      </c>
      <c r="P411" s="146">
        <v>4770</v>
      </c>
      <c r="Q411" s="146">
        <v>4770</v>
      </c>
      <c r="R411" s="146">
        <v>4770</v>
      </c>
      <c r="S411" s="132">
        <f t="shared" si="877"/>
        <v>23850</v>
      </c>
      <c r="T411" s="132">
        <f t="shared" ref="T411:W412" si="882">IF(O411&gt;prisgrense,J411*prisgrense,J411*O411)</f>
        <v>23850</v>
      </c>
      <c r="U411" s="132">
        <f t="shared" si="882"/>
        <v>0</v>
      </c>
      <c r="V411" s="132">
        <f t="shared" si="882"/>
        <v>0</v>
      </c>
      <c r="W411" s="132">
        <f t="shared" si="882"/>
        <v>0</v>
      </c>
      <c r="X411" s="132">
        <f t="shared" si="879"/>
        <v>23850</v>
      </c>
      <c r="Y411" s="104" t="s">
        <v>736</v>
      </c>
      <c r="Z411" s="393">
        <v>8</v>
      </c>
      <c r="AC411" s="521"/>
    </row>
    <row r="412" spans="1:215" ht="12.75" customHeight="1" outlineLevel="2" x14ac:dyDescent="0.2">
      <c r="A412" s="495" t="s">
        <v>557</v>
      </c>
      <c r="B412" s="150"/>
      <c r="C412" s="129" t="s">
        <v>132</v>
      </c>
      <c r="D412" s="129" t="s">
        <v>331</v>
      </c>
      <c r="E412" s="184" t="s">
        <v>332</v>
      </c>
      <c r="F412" s="135" t="s">
        <v>151</v>
      </c>
      <c r="G412" s="143" t="s">
        <v>83</v>
      </c>
      <c r="H412" s="133" t="s">
        <v>8</v>
      </c>
      <c r="I412" s="134" t="s">
        <v>128</v>
      </c>
      <c r="J412" s="134"/>
      <c r="K412" s="134"/>
      <c r="L412" s="134"/>
      <c r="M412" s="177"/>
      <c r="N412" s="302">
        <f>SUM(J412:M412)</f>
        <v>0</v>
      </c>
      <c r="O412" s="146">
        <v>4355</v>
      </c>
      <c r="P412" s="146">
        <v>4355</v>
      </c>
      <c r="Q412" s="146">
        <v>4355</v>
      </c>
      <c r="R412" s="146">
        <v>4355</v>
      </c>
      <c r="S412" s="132">
        <f t="shared" si="877"/>
        <v>0</v>
      </c>
      <c r="T412" s="132">
        <f t="shared" si="882"/>
        <v>0</v>
      </c>
      <c r="U412" s="132">
        <f t="shared" si="882"/>
        <v>0</v>
      </c>
      <c r="V412" s="132">
        <f t="shared" si="882"/>
        <v>0</v>
      </c>
      <c r="W412" s="132">
        <f t="shared" si="882"/>
        <v>0</v>
      </c>
      <c r="X412" s="132">
        <f t="shared" si="879"/>
        <v>0</v>
      </c>
      <c r="Y412" s="104" t="s">
        <v>742</v>
      </c>
      <c r="Z412" s="393">
        <v>2</v>
      </c>
      <c r="AC412" s="521"/>
    </row>
    <row r="413" spans="1:215" ht="12.75" customHeight="1" outlineLevel="2" x14ac:dyDescent="0.2">
      <c r="A413" s="495" t="s">
        <v>557</v>
      </c>
      <c r="B413" s="150"/>
      <c r="C413" s="156">
        <v>7</v>
      </c>
      <c r="D413" s="129" t="s">
        <v>258</v>
      </c>
      <c r="E413" s="184" t="s">
        <v>259</v>
      </c>
      <c r="F413" s="135" t="s">
        <v>151</v>
      </c>
      <c r="G413" s="135" t="s">
        <v>83</v>
      </c>
      <c r="H413" s="159" t="s">
        <v>8</v>
      </c>
      <c r="I413" s="140" t="s">
        <v>68</v>
      </c>
      <c r="J413" s="140"/>
      <c r="K413" s="140"/>
      <c r="L413" s="140"/>
      <c r="M413" s="486"/>
      <c r="N413" s="302">
        <f t="shared" ref="N413:N415" si="883">SUM(J413:M413)</f>
        <v>0</v>
      </c>
      <c r="O413" s="146">
        <v>4770</v>
      </c>
      <c r="P413" s="146">
        <v>4770</v>
      </c>
      <c r="Q413" s="146">
        <v>4770</v>
      </c>
      <c r="R413" s="146">
        <v>4770</v>
      </c>
      <c r="S413" s="132">
        <f t="shared" ref="S413:S415" si="884">SUMPRODUCT(J413:M413,O413:R413)</f>
        <v>0</v>
      </c>
      <c r="T413" s="132">
        <f t="shared" ref="T413:T415" si="885">IF(O413&gt;prisgrense,J413*prisgrense,J413*O413)</f>
        <v>0</v>
      </c>
      <c r="U413" s="132">
        <f t="shared" ref="U413:U428" si="886">IF(P413&gt;prisgrense,K413*prisgrense,K413*P413)</f>
        <v>0</v>
      </c>
      <c r="V413" s="132">
        <f t="shared" ref="V413:V428" si="887">IF(Q413&gt;prisgrense,L413*prisgrense,L413*Q413)</f>
        <v>0</v>
      </c>
      <c r="W413" s="132">
        <f t="shared" ref="W413:W428" si="888">IF(R413&gt;prisgrense,M413*prisgrense,M413*R413)</f>
        <v>0</v>
      </c>
      <c r="X413" s="132">
        <f t="shared" ref="X413:X415" si="889">SUM(T413:W413)</f>
        <v>0</v>
      </c>
      <c r="Y413" s="139" t="s">
        <v>690</v>
      </c>
      <c r="Z413" s="394">
        <v>1</v>
      </c>
      <c r="AC413" s="521"/>
    </row>
    <row r="414" spans="1:215" ht="12.75" customHeight="1" outlineLevel="2" x14ac:dyDescent="0.2">
      <c r="A414" s="495" t="s">
        <v>557</v>
      </c>
      <c r="B414" s="150"/>
      <c r="C414" s="156">
        <v>7</v>
      </c>
      <c r="D414" s="129" t="s">
        <v>260</v>
      </c>
      <c r="E414" s="184" t="s">
        <v>261</v>
      </c>
      <c r="F414" s="135" t="s">
        <v>151</v>
      </c>
      <c r="G414" s="135" t="s">
        <v>83</v>
      </c>
      <c r="H414" s="159" t="s">
        <v>8</v>
      </c>
      <c r="I414" s="140" t="s">
        <v>168</v>
      </c>
      <c r="J414" s="140">
        <v>4</v>
      </c>
      <c r="K414" s="140"/>
      <c r="L414" s="140"/>
      <c r="M414" s="486"/>
      <c r="N414" s="302">
        <f t="shared" si="883"/>
        <v>4</v>
      </c>
      <c r="O414" s="146">
        <v>4770</v>
      </c>
      <c r="P414" s="146">
        <v>4770</v>
      </c>
      <c r="Q414" s="146">
        <v>4770</v>
      </c>
      <c r="R414" s="146">
        <v>4770</v>
      </c>
      <c r="S414" s="132">
        <f t="shared" si="884"/>
        <v>19080</v>
      </c>
      <c r="T414" s="132">
        <f t="shared" si="885"/>
        <v>19080</v>
      </c>
      <c r="U414" s="132">
        <f t="shared" si="886"/>
        <v>0</v>
      </c>
      <c r="V414" s="132">
        <f t="shared" si="887"/>
        <v>0</v>
      </c>
      <c r="W414" s="132">
        <f t="shared" si="888"/>
        <v>0</v>
      </c>
      <c r="X414" s="132">
        <f t="shared" si="889"/>
        <v>19080</v>
      </c>
      <c r="Y414" s="139" t="s">
        <v>690</v>
      </c>
      <c r="Z414" s="394">
        <v>1</v>
      </c>
      <c r="AC414" s="521"/>
    </row>
    <row r="415" spans="1:215" ht="12.75" customHeight="1" outlineLevel="2" x14ac:dyDescent="0.2">
      <c r="A415" s="495" t="s">
        <v>557</v>
      </c>
      <c r="B415" s="150"/>
      <c r="C415" s="156">
        <v>7</v>
      </c>
      <c r="D415" s="129" t="s">
        <v>262</v>
      </c>
      <c r="E415" s="184" t="s">
        <v>263</v>
      </c>
      <c r="F415" s="135" t="s">
        <v>151</v>
      </c>
      <c r="G415" s="135" t="s">
        <v>83</v>
      </c>
      <c r="H415" s="159" t="s">
        <v>9</v>
      </c>
      <c r="I415" s="140" t="s">
        <v>504</v>
      </c>
      <c r="J415" s="140"/>
      <c r="K415" s="140"/>
      <c r="L415" s="140"/>
      <c r="M415" s="486"/>
      <c r="N415" s="302">
        <f t="shared" si="883"/>
        <v>0</v>
      </c>
      <c r="O415" s="146">
        <v>4770</v>
      </c>
      <c r="P415" s="146">
        <v>4770</v>
      </c>
      <c r="Q415" s="146">
        <v>4770</v>
      </c>
      <c r="R415" s="146">
        <v>4770</v>
      </c>
      <c r="S415" s="132">
        <f t="shared" si="884"/>
        <v>0</v>
      </c>
      <c r="T415" s="132">
        <f t="shared" si="885"/>
        <v>0</v>
      </c>
      <c r="U415" s="132">
        <f t="shared" si="886"/>
        <v>0</v>
      </c>
      <c r="V415" s="132">
        <f t="shared" si="887"/>
        <v>0</v>
      </c>
      <c r="W415" s="132">
        <f t="shared" si="888"/>
        <v>0</v>
      </c>
      <c r="X415" s="132">
        <f t="shared" si="889"/>
        <v>0</v>
      </c>
      <c r="Y415" s="139" t="s">
        <v>690</v>
      </c>
      <c r="Z415" s="394">
        <v>1</v>
      </c>
      <c r="AC415" s="521"/>
    </row>
    <row r="416" spans="1:215" ht="12.75" customHeight="1" outlineLevel="2" x14ac:dyDescent="0.2">
      <c r="A416" s="495" t="s">
        <v>557</v>
      </c>
      <c r="B416" s="150"/>
      <c r="C416" s="156">
        <v>7</v>
      </c>
      <c r="D416" s="129" t="s">
        <v>454</v>
      </c>
      <c r="E416" s="184" t="s">
        <v>455</v>
      </c>
      <c r="F416" s="135" t="s">
        <v>151</v>
      </c>
      <c r="G416" s="135" t="s">
        <v>83</v>
      </c>
      <c r="H416" s="135" t="s">
        <v>8</v>
      </c>
      <c r="I416" s="129" t="s">
        <v>68</v>
      </c>
      <c r="J416" s="129"/>
      <c r="K416" s="129"/>
      <c r="L416" s="129"/>
      <c r="M416" s="485"/>
      <c r="N416" s="302">
        <f t="shared" ref="N416:N422" si="890">SUM(J416:M416)</f>
        <v>0</v>
      </c>
      <c r="O416" s="146">
        <v>4770</v>
      </c>
      <c r="P416" s="146">
        <v>4770</v>
      </c>
      <c r="Q416" s="146">
        <v>4770</v>
      </c>
      <c r="R416" s="146">
        <v>4770</v>
      </c>
      <c r="S416" s="132">
        <f t="shared" ref="S416:S428" si="891">SUMPRODUCT(J416:M416,O416:R416)</f>
        <v>0</v>
      </c>
      <c r="T416" s="132">
        <f t="shared" ref="T416:T428" si="892">IF(O416&gt;prisgrense,J416*prisgrense,J416*O416)</f>
        <v>0</v>
      </c>
      <c r="U416" s="132">
        <f t="shared" si="886"/>
        <v>0</v>
      </c>
      <c r="V416" s="132">
        <f t="shared" si="887"/>
        <v>0</v>
      </c>
      <c r="W416" s="132">
        <f t="shared" si="888"/>
        <v>0</v>
      </c>
      <c r="X416" s="132">
        <f t="shared" ref="X416:X428" si="893">SUM(T416:W416)</f>
        <v>0</v>
      </c>
      <c r="Y416" s="104" t="s">
        <v>600</v>
      </c>
      <c r="Z416" s="393">
        <v>8</v>
      </c>
      <c r="AC416" s="521"/>
    </row>
    <row r="417" spans="1:215" ht="12.75" customHeight="1" outlineLevel="2" x14ac:dyDescent="0.2">
      <c r="A417" s="495" t="s">
        <v>557</v>
      </c>
      <c r="B417" s="150"/>
      <c r="C417" s="198"/>
      <c r="D417" s="162" t="s">
        <v>506</v>
      </c>
      <c r="E417" s="365"/>
      <c r="F417" s="472" t="s">
        <v>151</v>
      </c>
      <c r="G417" s="135" t="s">
        <v>83</v>
      </c>
      <c r="H417" s="473" t="s">
        <v>8</v>
      </c>
      <c r="I417" s="129" t="s">
        <v>68</v>
      </c>
      <c r="J417" s="129"/>
      <c r="K417" s="129"/>
      <c r="L417" s="129"/>
      <c r="M417" s="485"/>
      <c r="N417" s="302">
        <f t="shared" si="890"/>
        <v>0</v>
      </c>
      <c r="O417" s="201">
        <v>3517</v>
      </c>
      <c r="P417" s="201">
        <v>3517</v>
      </c>
      <c r="Q417" s="201">
        <v>3517</v>
      </c>
      <c r="R417" s="201">
        <v>3517</v>
      </c>
      <c r="S417" s="132">
        <f t="shared" si="891"/>
        <v>0</v>
      </c>
      <c r="T417" s="132">
        <f t="shared" si="892"/>
        <v>0</v>
      </c>
      <c r="U417" s="132">
        <f t="shared" si="886"/>
        <v>0</v>
      </c>
      <c r="V417" s="132">
        <f t="shared" si="887"/>
        <v>0</v>
      </c>
      <c r="W417" s="132">
        <f t="shared" si="888"/>
        <v>0</v>
      </c>
      <c r="X417" s="132">
        <f t="shared" si="893"/>
        <v>0</v>
      </c>
      <c r="Y417" s="104"/>
      <c r="AC417" s="521"/>
    </row>
    <row r="418" spans="1:215" ht="12.75" customHeight="1" outlineLevel="2" x14ac:dyDescent="0.2">
      <c r="A418" s="495" t="s">
        <v>557</v>
      </c>
      <c r="B418" s="150"/>
      <c r="C418" s="186"/>
      <c r="D418" s="129" t="s">
        <v>505</v>
      </c>
      <c r="E418" s="184"/>
      <c r="F418" s="130" t="s">
        <v>151</v>
      </c>
      <c r="G418" s="135" t="s">
        <v>83</v>
      </c>
      <c r="H418" s="143" t="s">
        <v>21</v>
      </c>
      <c r="I418" s="129" t="s">
        <v>504</v>
      </c>
      <c r="J418" s="129"/>
      <c r="K418" s="129"/>
      <c r="L418" s="129"/>
      <c r="M418" s="485"/>
      <c r="N418" s="302">
        <f t="shared" si="890"/>
        <v>0</v>
      </c>
      <c r="O418" s="132">
        <v>3517</v>
      </c>
      <c r="P418" s="132">
        <v>3517</v>
      </c>
      <c r="Q418" s="132">
        <v>3517</v>
      </c>
      <c r="R418" s="132">
        <v>3517</v>
      </c>
      <c r="S418" s="132">
        <f t="shared" si="891"/>
        <v>0</v>
      </c>
      <c r="T418" s="132">
        <f t="shared" si="892"/>
        <v>0</v>
      </c>
      <c r="U418" s="132">
        <f t="shared" si="886"/>
        <v>0</v>
      </c>
      <c r="V418" s="132">
        <f t="shared" si="887"/>
        <v>0</v>
      </c>
      <c r="W418" s="132">
        <f t="shared" si="888"/>
        <v>0</v>
      </c>
      <c r="X418" s="132">
        <f t="shared" si="893"/>
        <v>0</v>
      </c>
      <c r="Y418" s="104"/>
      <c r="AC418" s="521"/>
    </row>
    <row r="419" spans="1:215" ht="12.75" customHeight="1" outlineLevel="2" x14ac:dyDescent="0.2">
      <c r="A419" s="495" t="s">
        <v>557</v>
      </c>
      <c r="B419" s="150"/>
      <c r="C419" s="186"/>
      <c r="D419" s="129" t="s">
        <v>503</v>
      </c>
      <c r="E419" s="184"/>
      <c r="F419" s="130" t="s">
        <v>151</v>
      </c>
      <c r="G419" s="135" t="s">
        <v>83</v>
      </c>
      <c r="H419" s="143" t="s">
        <v>9</v>
      </c>
      <c r="I419" s="129" t="s">
        <v>504</v>
      </c>
      <c r="J419" s="129"/>
      <c r="K419" s="129"/>
      <c r="L419" s="129"/>
      <c r="M419" s="485"/>
      <c r="N419" s="302">
        <f t="shared" si="890"/>
        <v>0</v>
      </c>
      <c r="O419" s="132">
        <v>3517</v>
      </c>
      <c r="P419" s="132">
        <v>3517</v>
      </c>
      <c r="Q419" s="132">
        <v>3517</v>
      </c>
      <c r="R419" s="132">
        <v>3517</v>
      </c>
      <c r="S419" s="132">
        <f t="shared" si="891"/>
        <v>0</v>
      </c>
      <c r="T419" s="132">
        <f t="shared" si="892"/>
        <v>0</v>
      </c>
      <c r="U419" s="132">
        <f t="shared" si="886"/>
        <v>0</v>
      </c>
      <c r="V419" s="132">
        <f t="shared" si="887"/>
        <v>0</v>
      </c>
      <c r="W419" s="132">
        <f t="shared" si="888"/>
        <v>0</v>
      </c>
      <c r="X419" s="132">
        <f t="shared" si="893"/>
        <v>0</v>
      </c>
      <c r="Y419" s="104"/>
      <c r="AC419" s="521"/>
    </row>
    <row r="420" spans="1:215" ht="12.75" customHeight="1" outlineLevel="2" x14ac:dyDescent="0.2">
      <c r="A420" s="495" t="s">
        <v>557</v>
      </c>
      <c r="B420" s="150"/>
      <c r="C420" s="156"/>
      <c r="D420" s="129" t="s">
        <v>507</v>
      </c>
      <c r="E420" s="184"/>
      <c r="F420" s="130" t="s">
        <v>151</v>
      </c>
      <c r="G420" s="135" t="s">
        <v>83</v>
      </c>
      <c r="H420" s="143" t="s">
        <v>9</v>
      </c>
      <c r="I420" s="129" t="s">
        <v>504</v>
      </c>
      <c r="J420" s="129"/>
      <c r="K420" s="129"/>
      <c r="L420" s="129"/>
      <c r="M420" s="485"/>
      <c r="N420" s="302">
        <f t="shared" si="890"/>
        <v>0</v>
      </c>
      <c r="O420" s="146">
        <v>3400</v>
      </c>
      <c r="P420" s="146">
        <v>3400</v>
      </c>
      <c r="Q420" s="146">
        <v>3400</v>
      </c>
      <c r="R420" s="146">
        <v>3400</v>
      </c>
      <c r="S420" s="132">
        <f t="shared" si="891"/>
        <v>0</v>
      </c>
      <c r="T420" s="132">
        <f t="shared" si="892"/>
        <v>0</v>
      </c>
      <c r="U420" s="132">
        <f t="shared" si="886"/>
        <v>0</v>
      </c>
      <c r="V420" s="132">
        <f t="shared" si="887"/>
        <v>0</v>
      </c>
      <c r="W420" s="132">
        <f t="shared" si="888"/>
        <v>0</v>
      </c>
      <c r="X420" s="132">
        <f t="shared" si="893"/>
        <v>0</v>
      </c>
      <c r="Y420" s="104"/>
      <c r="AC420" s="521"/>
    </row>
    <row r="421" spans="1:215" ht="12.75" customHeight="1" outlineLevel="2" x14ac:dyDescent="0.2">
      <c r="A421" s="495" t="s">
        <v>557</v>
      </c>
      <c r="B421" s="150"/>
      <c r="C421" s="156"/>
      <c r="D421" s="129" t="s">
        <v>502</v>
      </c>
      <c r="E421" s="184"/>
      <c r="F421" s="130" t="s">
        <v>151</v>
      </c>
      <c r="G421" s="135" t="s">
        <v>83</v>
      </c>
      <c r="H421" s="143" t="s">
        <v>8</v>
      </c>
      <c r="I421" s="129" t="s">
        <v>168</v>
      </c>
      <c r="J421" s="129"/>
      <c r="K421" s="129"/>
      <c r="L421" s="129"/>
      <c r="M421" s="485"/>
      <c r="N421" s="302">
        <f t="shared" si="890"/>
        <v>0</v>
      </c>
      <c r="O421" s="146">
        <v>3517</v>
      </c>
      <c r="P421" s="146">
        <v>3517</v>
      </c>
      <c r="Q421" s="146">
        <v>3517</v>
      </c>
      <c r="R421" s="146">
        <v>3517</v>
      </c>
      <c r="S421" s="132">
        <f t="shared" si="891"/>
        <v>0</v>
      </c>
      <c r="T421" s="132">
        <f t="shared" si="892"/>
        <v>0</v>
      </c>
      <c r="U421" s="132">
        <f t="shared" si="886"/>
        <v>0</v>
      </c>
      <c r="V421" s="132">
        <f t="shared" si="887"/>
        <v>0</v>
      </c>
      <c r="W421" s="132">
        <f t="shared" si="888"/>
        <v>0</v>
      </c>
      <c r="X421" s="132">
        <f t="shared" si="893"/>
        <v>0</v>
      </c>
      <c r="Y421" s="104"/>
      <c r="AC421" s="521"/>
    </row>
    <row r="422" spans="1:215" ht="12.75" customHeight="1" outlineLevel="2" x14ac:dyDescent="0.2">
      <c r="A422" s="495" t="s">
        <v>557</v>
      </c>
      <c r="B422" s="150"/>
      <c r="C422" s="156"/>
      <c r="D422" s="129" t="s">
        <v>508</v>
      </c>
      <c r="E422" s="184"/>
      <c r="F422" s="130" t="s">
        <v>151</v>
      </c>
      <c r="G422" s="135" t="s">
        <v>83</v>
      </c>
      <c r="H422" s="143" t="s">
        <v>8</v>
      </c>
      <c r="I422" s="129" t="s">
        <v>68</v>
      </c>
      <c r="J422" s="129"/>
      <c r="K422" s="129"/>
      <c r="L422" s="129"/>
      <c r="M422" s="485"/>
      <c r="N422" s="302">
        <f t="shared" si="890"/>
        <v>0</v>
      </c>
      <c r="O422" s="146">
        <v>3400</v>
      </c>
      <c r="P422" s="146">
        <v>3400</v>
      </c>
      <c r="Q422" s="146">
        <v>3400</v>
      </c>
      <c r="R422" s="146">
        <v>3400</v>
      </c>
      <c r="S422" s="132">
        <f t="shared" si="891"/>
        <v>0</v>
      </c>
      <c r="T422" s="132">
        <f t="shared" si="892"/>
        <v>0</v>
      </c>
      <c r="U422" s="132">
        <f t="shared" si="886"/>
        <v>0</v>
      </c>
      <c r="V422" s="132">
        <f t="shared" si="887"/>
        <v>0</v>
      </c>
      <c r="W422" s="132">
        <f t="shared" si="888"/>
        <v>0</v>
      </c>
      <c r="X422" s="132">
        <f t="shared" si="893"/>
        <v>0</v>
      </c>
      <c r="Y422" s="104"/>
      <c r="AC422" s="521"/>
    </row>
    <row r="423" spans="1:215" ht="12.75" customHeight="1" outlineLevel="2" x14ac:dyDescent="0.2">
      <c r="A423" s="495" t="s">
        <v>557</v>
      </c>
      <c r="B423" s="150"/>
      <c r="C423" s="156"/>
      <c r="D423" s="129" t="s">
        <v>509</v>
      </c>
      <c r="E423" s="184"/>
      <c r="F423" s="130" t="s">
        <v>151</v>
      </c>
      <c r="G423" s="135" t="s">
        <v>83</v>
      </c>
      <c r="H423" s="143" t="s">
        <v>8</v>
      </c>
      <c r="I423" s="129" t="s">
        <v>68</v>
      </c>
      <c r="J423" s="129"/>
      <c r="K423" s="129"/>
      <c r="L423" s="129"/>
      <c r="M423" s="177"/>
      <c r="N423" s="302">
        <f t="shared" ref="N423:N428" si="894">SUM(J423:M423)</f>
        <v>0</v>
      </c>
      <c r="O423" s="146">
        <v>3458</v>
      </c>
      <c r="P423" s="146">
        <v>3458</v>
      </c>
      <c r="Q423" s="146">
        <v>3458</v>
      </c>
      <c r="R423" s="146">
        <v>3458</v>
      </c>
      <c r="S423" s="132">
        <f t="shared" si="891"/>
        <v>0</v>
      </c>
      <c r="T423" s="132">
        <f t="shared" si="892"/>
        <v>0</v>
      </c>
      <c r="U423" s="132">
        <f t="shared" si="886"/>
        <v>0</v>
      </c>
      <c r="V423" s="132">
        <f t="shared" si="887"/>
        <v>0</v>
      </c>
      <c r="W423" s="132">
        <f t="shared" si="888"/>
        <v>0</v>
      </c>
      <c r="X423" s="132">
        <f t="shared" si="893"/>
        <v>0</v>
      </c>
      <c r="Y423" s="104"/>
      <c r="AC423" s="521"/>
    </row>
    <row r="424" spans="1:215" ht="12.75" customHeight="1" outlineLevel="2" x14ac:dyDescent="0.2">
      <c r="A424" s="495" t="s">
        <v>557</v>
      </c>
      <c r="B424" s="150"/>
      <c r="C424" s="129"/>
      <c r="D424" s="129" t="s">
        <v>215</v>
      </c>
      <c r="E424" s="184" t="s">
        <v>216</v>
      </c>
      <c r="F424" s="130" t="s">
        <v>607</v>
      </c>
      <c r="G424" s="143" t="s">
        <v>103</v>
      </c>
      <c r="H424" s="133" t="s">
        <v>8</v>
      </c>
      <c r="I424" s="134" t="s">
        <v>128</v>
      </c>
      <c r="J424" s="134"/>
      <c r="K424" s="129"/>
      <c r="L424" s="129"/>
      <c r="M424" s="177"/>
      <c r="N424" s="302">
        <f>SUM(J424:M424)</f>
        <v>0</v>
      </c>
      <c r="O424" s="151">
        <v>735</v>
      </c>
      <c r="P424" s="151">
        <v>735</v>
      </c>
      <c r="Q424" s="151">
        <v>735</v>
      </c>
      <c r="R424" s="151">
        <v>735</v>
      </c>
      <c r="S424" s="132">
        <f>SUMPRODUCT(J424:M424,O424:R424)</f>
        <v>0</v>
      </c>
      <c r="T424" s="132">
        <f>IF(O424&gt;prisgrense,J424*prisgrense,J424*O424)</f>
        <v>0</v>
      </c>
      <c r="U424" s="132">
        <f>IF(P424&gt;prisgrense,K424*prisgrense,K424*P424)</f>
        <v>0</v>
      </c>
      <c r="V424" s="132">
        <f>IF(Q424&gt;prisgrense,L424*prisgrense,L424*Q424)</f>
        <v>0</v>
      </c>
      <c r="W424" s="132">
        <f>IF(R424&gt;prisgrense,M424*prisgrense,M424*R424)</f>
        <v>0</v>
      </c>
      <c r="X424" s="132">
        <f>SUM(T424:W424)</f>
        <v>0</v>
      </c>
      <c r="Y424" s="139" t="s">
        <v>900</v>
      </c>
      <c r="Z424" s="393">
        <v>2</v>
      </c>
      <c r="AC424" s="521"/>
    </row>
    <row r="425" spans="1:215" ht="12.75" customHeight="1" outlineLevel="2" x14ac:dyDescent="0.2">
      <c r="A425" s="495" t="s">
        <v>557</v>
      </c>
      <c r="B425" s="150"/>
      <c r="C425" s="129"/>
      <c r="D425" s="129" t="s">
        <v>788</v>
      </c>
      <c r="E425" s="184" t="s">
        <v>789</v>
      </c>
      <c r="F425" s="135" t="s">
        <v>607</v>
      </c>
      <c r="G425" s="137" t="s">
        <v>83</v>
      </c>
      <c r="H425" s="136" t="s">
        <v>8</v>
      </c>
      <c r="I425" s="134" t="s">
        <v>168</v>
      </c>
      <c r="J425" s="134"/>
      <c r="K425" s="129"/>
      <c r="L425" s="129"/>
      <c r="M425" s="141"/>
      <c r="N425" s="302">
        <f t="shared" ref="N425:N427" si="895">SUM(J425:M425)</f>
        <v>0</v>
      </c>
      <c r="O425" s="146">
        <v>4412</v>
      </c>
      <c r="P425" s="146">
        <v>4412</v>
      </c>
      <c r="Q425" s="146">
        <v>4412</v>
      </c>
      <c r="R425" s="146">
        <v>4412</v>
      </c>
      <c r="S425" s="132">
        <f t="shared" ref="S425:S427" si="896">SUMPRODUCT(J425:M425,O425:R425)</f>
        <v>0</v>
      </c>
      <c r="T425" s="132">
        <f t="shared" ref="T425:W427" si="897">IF(O425&gt;prisgrense,J425*prisgrense,J425*O425)</f>
        <v>0</v>
      </c>
      <c r="U425" s="132">
        <f t="shared" si="897"/>
        <v>0</v>
      </c>
      <c r="V425" s="132">
        <f t="shared" si="897"/>
        <v>0</v>
      </c>
      <c r="W425" s="132">
        <f t="shared" si="897"/>
        <v>0</v>
      </c>
      <c r="X425" s="132">
        <f t="shared" ref="X425:X427" si="898">SUM(T425:W425)</f>
        <v>0</v>
      </c>
      <c r="Y425" s="104" t="s">
        <v>930</v>
      </c>
      <c r="Z425" s="393">
        <v>7</v>
      </c>
      <c r="AC425" s="521"/>
    </row>
    <row r="426" spans="1:215" s="152" customFormat="1" ht="12.75" customHeight="1" outlineLevel="2" x14ac:dyDescent="0.2">
      <c r="A426" s="495" t="s">
        <v>557</v>
      </c>
      <c r="B426" s="150"/>
      <c r="C426" s="129"/>
      <c r="D426" s="129" t="s">
        <v>553</v>
      </c>
      <c r="E426" s="184" t="s">
        <v>554</v>
      </c>
      <c r="F426" s="130" t="s">
        <v>607</v>
      </c>
      <c r="G426" s="135" t="s">
        <v>103</v>
      </c>
      <c r="H426" s="135" t="s">
        <v>8</v>
      </c>
      <c r="I426" s="129" t="s">
        <v>168</v>
      </c>
      <c r="J426" s="129">
        <v>7</v>
      </c>
      <c r="K426" s="129"/>
      <c r="L426" s="129"/>
      <c r="M426" s="141"/>
      <c r="N426" s="302">
        <f t="shared" si="895"/>
        <v>7</v>
      </c>
      <c r="O426" s="146">
        <v>3151</v>
      </c>
      <c r="P426" s="146">
        <v>3151</v>
      </c>
      <c r="Q426" s="146">
        <v>3151</v>
      </c>
      <c r="R426" s="146">
        <v>3151</v>
      </c>
      <c r="S426" s="132">
        <f t="shared" si="896"/>
        <v>22057</v>
      </c>
      <c r="T426" s="132">
        <f t="shared" si="897"/>
        <v>22057</v>
      </c>
      <c r="U426" s="132">
        <f t="shared" si="897"/>
        <v>0</v>
      </c>
      <c r="V426" s="132">
        <f t="shared" si="897"/>
        <v>0</v>
      </c>
      <c r="W426" s="132">
        <f t="shared" si="897"/>
        <v>0</v>
      </c>
      <c r="X426" s="132">
        <f t="shared" si="898"/>
        <v>22057</v>
      </c>
      <c r="Y426" s="157" t="s">
        <v>936</v>
      </c>
      <c r="Z426" s="395">
        <v>6</v>
      </c>
      <c r="AC426" s="521"/>
    </row>
    <row r="427" spans="1:215" s="152" customFormat="1" ht="12.75" customHeight="1" outlineLevel="2" x14ac:dyDescent="0.2">
      <c r="A427" s="495" t="s">
        <v>557</v>
      </c>
      <c r="B427" s="150"/>
      <c r="C427" s="129"/>
      <c r="D427" s="129" t="s">
        <v>545</v>
      </c>
      <c r="E427" s="184" t="s">
        <v>546</v>
      </c>
      <c r="F427" s="130" t="s">
        <v>607</v>
      </c>
      <c r="G427" s="135" t="s">
        <v>103</v>
      </c>
      <c r="H427" s="135" t="s">
        <v>9</v>
      </c>
      <c r="I427" s="129" t="s">
        <v>504</v>
      </c>
      <c r="J427" s="184">
        <v>1</v>
      </c>
      <c r="K427" s="129"/>
      <c r="L427" s="129"/>
      <c r="M427" s="141"/>
      <c r="N427" s="302">
        <f t="shared" si="895"/>
        <v>1</v>
      </c>
      <c r="O427" s="146">
        <v>3151</v>
      </c>
      <c r="P427" s="146">
        <v>3151</v>
      </c>
      <c r="Q427" s="146">
        <v>3151</v>
      </c>
      <c r="R427" s="146">
        <v>3151</v>
      </c>
      <c r="S427" s="132">
        <f t="shared" si="896"/>
        <v>3151</v>
      </c>
      <c r="T427" s="132">
        <f t="shared" si="897"/>
        <v>3151</v>
      </c>
      <c r="U427" s="132">
        <f t="shared" si="897"/>
        <v>0</v>
      </c>
      <c r="V427" s="132">
        <f t="shared" si="897"/>
        <v>0</v>
      </c>
      <c r="W427" s="132">
        <f t="shared" si="897"/>
        <v>0</v>
      </c>
      <c r="X427" s="132">
        <f t="shared" si="898"/>
        <v>3151</v>
      </c>
      <c r="Y427" s="157" t="s">
        <v>936</v>
      </c>
      <c r="Z427" s="395">
        <v>6</v>
      </c>
      <c r="AC427" s="521"/>
    </row>
    <row r="428" spans="1:215" ht="12.75" customHeight="1" outlineLevel="2" x14ac:dyDescent="0.2">
      <c r="A428" s="495" t="s">
        <v>557</v>
      </c>
      <c r="B428" s="150"/>
      <c r="C428" s="129"/>
      <c r="D428" s="129" t="s">
        <v>250</v>
      </c>
      <c r="E428" s="184" t="s">
        <v>251</v>
      </c>
      <c r="F428" s="130" t="s">
        <v>607</v>
      </c>
      <c r="G428" s="137" t="s">
        <v>103</v>
      </c>
      <c r="H428" s="136" t="s">
        <v>8</v>
      </c>
      <c r="I428" s="134" t="s">
        <v>128</v>
      </c>
      <c r="J428" s="134"/>
      <c r="K428" s="129"/>
      <c r="L428" s="129"/>
      <c r="M428" s="141"/>
      <c r="N428" s="302">
        <f t="shared" si="894"/>
        <v>0</v>
      </c>
      <c r="O428" s="132">
        <v>2942</v>
      </c>
      <c r="P428" s="132">
        <v>2942</v>
      </c>
      <c r="Q428" s="132">
        <v>2942</v>
      </c>
      <c r="R428" s="132">
        <v>2942</v>
      </c>
      <c r="S428" s="132">
        <f t="shared" si="891"/>
        <v>0</v>
      </c>
      <c r="T428" s="132">
        <f t="shared" si="892"/>
        <v>0</v>
      </c>
      <c r="U428" s="132">
        <f t="shared" si="886"/>
        <v>0</v>
      </c>
      <c r="V428" s="132">
        <f t="shared" si="887"/>
        <v>0</v>
      </c>
      <c r="W428" s="132">
        <f t="shared" si="888"/>
        <v>0</v>
      </c>
      <c r="X428" s="132">
        <f t="shared" si="893"/>
        <v>0</v>
      </c>
      <c r="Y428" s="139" t="s">
        <v>931</v>
      </c>
      <c r="Z428" s="393">
        <v>2</v>
      </c>
      <c r="AC428" s="521"/>
    </row>
    <row r="429" spans="1:215" s="139" customFormat="1" outlineLevel="2" x14ac:dyDescent="0.2">
      <c r="A429" s="495" t="s">
        <v>557</v>
      </c>
      <c r="B429" s="150"/>
      <c r="C429" s="129" t="s">
        <v>608</v>
      </c>
      <c r="D429" s="129" t="s">
        <v>609</v>
      </c>
      <c r="E429" s="184" t="s">
        <v>610</v>
      </c>
      <c r="F429" s="130" t="s">
        <v>607</v>
      </c>
      <c r="G429" s="135" t="s">
        <v>103</v>
      </c>
      <c r="H429" s="136" t="s">
        <v>8</v>
      </c>
      <c r="I429" s="134" t="s">
        <v>168</v>
      </c>
      <c r="J429" s="134">
        <v>3</v>
      </c>
      <c r="K429" s="129"/>
      <c r="L429" s="129"/>
      <c r="M429" s="141"/>
      <c r="N429" s="302">
        <f t="shared" ref="N429:N435" si="899">SUM(J429:M429)</f>
        <v>3</v>
      </c>
      <c r="O429" s="151">
        <v>4412</v>
      </c>
      <c r="P429" s="151">
        <v>4412</v>
      </c>
      <c r="Q429" s="151">
        <v>4412</v>
      </c>
      <c r="R429" s="151">
        <v>4412</v>
      </c>
      <c r="S429" s="132">
        <f t="shared" ref="S429:S435" si="900">SUMPRODUCT(J429:M429,O429:R429)</f>
        <v>13236</v>
      </c>
      <c r="T429" s="132">
        <f t="shared" ref="T429:T435" si="901">IF(O429&gt;prisgrense,J429*prisgrense,J429*O429)</f>
        <v>13236</v>
      </c>
      <c r="U429" s="132">
        <f t="shared" ref="U429:U435" si="902">IF(P429&gt;prisgrense,K429*prisgrense,K429*P429)</f>
        <v>0</v>
      </c>
      <c r="V429" s="132">
        <f t="shared" ref="V429:V435" si="903">IF(Q429&gt;prisgrense,L429*prisgrense,L429*Q429)</f>
        <v>0</v>
      </c>
      <c r="W429" s="132">
        <f t="shared" ref="W429:W435" si="904">IF(R429&gt;prisgrense,M429*prisgrense,M429*R429)</f>
        <v>0</v>
      </c>
      <c r="X429" s="132">
        <f t="shared" ref="X429:X435" si="905">SUM(T429:W429)</f>
        <v>13236</v>
      </c>
      <c r="Y429" s="139" t="s">
        <v>934</v>
      </c>
      <c r="Z429" s="393">
        <v>1</v>
      </c>
      <c r="AA429" s="104"/>
      <c r="AB429" s="104"/>
      <c r="AC429" s="521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  <c r="BI429" s="104"/>
      <c r="BJ429" s="104"/>
      <c r="BK429" s="104"/>
      <c r="BL429" s="104"/>
      <c r="BM429" s="104"/>
      <c r="BN429" s="104"/>
      <c r="BO429" s="104"/>
      <c r="BP429" s="104"/>
      <c r="BQ429" s="104"/>
      <c r="BR429" s="104"/>
      <c r="BS429" s="104"/>
      <c r="BT429" s="104"/>
      <c r="BU429" s="104"/>
      <c r="BV429" s="104"/>
      <c r="BW429" s="104"/>
      <c r="BX429" s="104"/>
      <c r="BY429" s="104"/>
      <c r="BZ429" s="104"/>
      <c r="CA429" s="104"/>
      <c r="CB429" s="104"/>
      <c r="CC429" s="104"/>
      <c r="CD429" s="104"/>
      <c r="CE429" s="104"/>
      <c r="CF429" s="104"/>
      <c r="CG429" s="104"/>
      <c r="CH429" s="104"/>
      <c r="CI429" s="104"/>
      <c r="CJ429" s="104"/>
      <c r="CK429" s="104"/>
      <c r="CL429" s="104"/>
      <c r="CM429" s="104"/>
      <c r="CN429" s="104"/>
      <c r="CO429" s="104"/>
      <c r="CP429" s="104"/>
      <c r="CQ429" s="104"/>
      <c r="CR429" s="104"/>
      <c r="CS429" s="104"/>
      <c r="CT429" s="104"/>
      <c r="CU429" s="104"/>
      <c r="CV429" s="104"/>
      <c r="CW429" s="104"/>
      <c r="CX429" s="104"/>
      <c r="CY429" s="104"/>
      <c r="CZ429" s="104"/>
      <c r="DA429" s="104"/>
      <c r="DB429" s="104"/>
      <c r="DC429" s="104"/>
      <c r="DD429" s="104"/>
      <c r="DE429" s="104"/>
      <c r="DF429" s="104"/>
      <c r="DG429" s="104"/>
      <c r="DH429" s="104"/>
      <c r="DI429" s="104"/>
      <c r="DJ429" s="104"/>
      <c r="DK429" s="104"/>
      <c r="DL429" s="104"/>
      <c r="DM429" s="104"/>
      <c r="DN429" s="104"/>
      <c r="DO429" s="104"/>
      <c r="DP429" s="104"/>
      <c r="DQ429" s="104"/>
      <c r="DR429" s="104"/>
      <c r="DS429" s="104"/>
      <c r="DT429" s="104"/>
      <c r="DU429" s="104"/>
      <c r="DV429" s="104"/>
      <c r="DW429" s="104"/>
      <c r="DX429" s="104"/>
      <c r="DY429" s="104"/>
      <c r="DZ429" s="104"/>
      <c r="EA429" s="104"/>
      <c r="EB429" s="104"/>
      <c r="EC429" s="104"/>
      <c r="ED429" s="104"/>
      <c r="EE429" s="104"/>
      <c r="EF429" s="104"/>
      <c r="EG429" s="104"/>
      <c r="EH429" s="104"/>
      <c r="EI429" s="104"/>
      <c r="EJ429" s="104"/>
      <c r="EK429" s="104"/>
      <c r="EL429" s="104"/>
      <c r="EM429" s="104"/>
      <c r="EN429" s="104"/>
      <c r="EO429" s="104"/>
      <c r="EP429" s="104"/>
      <c r="EQ429" s="104"/>
      <c r="ER429" s="104"/>
      <c r="ES429" s="104"/>
      <c r="ET429" s="104"/>
      <c r="EU429" s="104"/>
      <c r="EV429" s="104"/>
      <c r="EW429" s="104"/>
      <c r="EX429" s="104"/>
      <c r="EY429" s="104"/>
      <c r="EZ429" s="104"/>
      <c r="FA429" s="104"/>
      <c r="FB429" s="104"/>
      <c r="FC429" s="104"/>
      <c r="FD429" s="104"/>
      <c r="FE429" s="104"/>
      <c r="FF429" s="104"/>
      <c r="FG429" s="104"/>
      <c r="FH429" s="104"/>
      <c r="FI429" s="104"/>
      <c r="FJ429" s="104"/>
      <c r="FK429" s="104"/>
      <c r="FL429" s="104"/>
      <c r="FM429" s="104"/>
      <c r="FN429" s="104"/>
      <c r="FO429" s="104"/>
      <c r="FP429" s="104"/>
      <c r="FQ429" s="104"/>
      <c r="FR429" s="104"/>
      <c r="FS429" s="104"/>
      <c r="FT429" s="104"/>
      <c r="FU429" s="104"/>
      <c r="FV429" s="104"/>
      <c r="FW429" s="104"/>
      <c r="FX429" s="104"/>
      <c r="FY429" s="104"/>
      <c r="FZ429" s="104"/>
      <c r="GA429" s="104"/>
      <c r="GB429" s="104"/>
      <c r="GC429" s="104"/>
      <c r="GD429" s="104"/>
      <c r="GE429" s="104"/>
      <c r="GF429" s="104"/>
      <c r="GG429" s="104"/>
      <c r="GH429" s="104"/>
      <c r="GI429" s="104"/>
      <c r="GJ429" s="104"/>
      <c r="GK429" s="104"/>
      <c r="GL429" s="104"/>
      <c r="GM429" s="104"/>
      <c r="GN429" s="104"/>
      <c r="GO429" s="104"/>
      <c r="GP429" s="104"/>
      <c r="GQ429" s="104"/>
      <c r="GR429" s="104"/>
      <c r="GS429" s="104"/>
      <c r="GT429" s="104"/>
      <c r="GU429" s="104"/>
      <c r="GV429" s="104"/>
      <c r="GW429" s="104"/>
      <c r="GX429" s="104"/>
      <c r="GY429" s="104"/>
      <c r="GZ429" s="104"/>
      <c r="HA429" s="104"/>
      <c r="HB429" s="104"/>
      <c r="HC429" s="104"/>
      <c r="HD429" s="104"/>
      <c r="HE429" s="104"/>
      <c r="HF429" s="104"/>
      <c r="HG429" s="104"/>
    </row>
    <row r="430" spans="1:215" s="139" customFormat="1" outlineLevel="2" x14ac:dyDescent="0.2">
      <c r="A430" s="495" t="s">
        <v>557</v>
      </c>
      <c r="B430" s="150"/>
      <c r="C430" s="129" t="s">
        <v>608</v>
      </c>
      <c r="D430" s="129" t="s">
        <v>611</v>
      </c>
      <c r="E430" s="184" t="s">
        <v>612</v>
      </c>
      <c r="F430" s="130" t="s">
        <v>607</v>
      </c>
      <c r="G430" s="135" t="s">
        <v>103</v>
      </c>
      <c r="H430" s="136" t="s">
        <v>8</v>
      </c>
      <c r="I430" s="134" t="s">
        <v>128</v>
      </c>
      <c r="J430" s="134">
        <v>4</v>
      </c>
      <c r="K430" s="129"/>
      <c r="L430" s="129"/>
      <c r="M430" s="141"/>
      <c r="N430" s="302">
        <f t="shared" si="899"/>
        <v>4</v>
      </c>
      <c r="O430" s="151">
        <v>2942</v>
      </c>
      <c r="P430" s="151">
        <v>2942</v>
      </c>
      <c r="Q430" s="151">
        <v>2942</v>
      </c>
      <c r="R430" s="151">
        <v>2942</v>
      </c>
      <c r="S430" s="132">
        <f t="shared" si="900"/>
        <v>11768</v>
      </c>
      <c r="T430" s="132">
        <f t="shared" si="901"/>
        <v>11768</v>
      </c>
      <c r="U430" s="132">
        <f t="shared" si="902"/>
        <v>0</v>
      </c>
      <c r="V430" s="132">
        <f t="shared" si="903"/>
        <v>0</v>
      </c>
      <c r="W430" s="132">
        <f t="shared" si="904"/>
        <v>0</v>
      </c>
      <c r="X430" s="132">
        <f t="shared" si="905"/>
        <v>11768</v>
      </c>
      <c r="Y430" s="139" t="s">
        <v>934</v>
      </c>
      <c r="Z430" s="393">
        <v>1</v>
      </c>
      <c r="AA430" s="104"/>
      <c r="AB430" s="104"/>
      <c r="AC430" s="521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  <c r="BI430" s="104"/>
      <c r="BJ430" s="104"/>
      <c r="BK430" s="104"/>
      <c r="BL430" s="104"/>
      <c r="BM430" s="104"/>
      <c r="BN430" s="104"/>
      <c r="BO430" s="104"/>
      <c r="BP430" s="104"/>
      <c r="BQ430" s="104"/>
      <c r="BR430" s="104"/>
      <c r="BS430" s="104"/>
      <c r="BT430" s="104"/>
      <c r="BU430" s="104"/>
      <c r="BV430" s="104"/>
      <c r="BW430" s="104"/>
      <c r="BX430" s="104"/>
      <c r="BY430" s="104"/>
      <c r="BZ430" s="104"/>
      <c r="CA430" s="104"/>
      <c r="CB430" s="104"/>
      <c r="CC430" s="104"/>
      <c r="CD430" s="104"/>
      <c r="CE430" s="104"/>
      <c r="CF430" s="104"/>
      <c r="CG430" s="104"/>
      <c r="CH430" s="104"/>
      <c r="CI430" s="104"/>
      <c r="CJ430" s="104"/>
      <c r="CK430" s="104"/>
      <c r="CL430" s="104"/>
      <c r="CM430" s="104"/>
      <c r="CN430" s="104"/>
      <c r="CO430" s="104"/>
      <c r="CP430" s="104"/>
      <c r="CQ430" s="104"/>
      <c r="CR430" s="104"/>
      <c r="CS430" s="104"/>
      <c r="CT430" s="104"/>
      <c r="CU430" s="104"/>
      <c r="CV430" s="104"/>
      <c r="CW430" s="104"/>
      <c r="CX430" s="104"/>
      <c r="CY430" s="104"/>
      <c r="CZ430" s="104"/>
      <c r="DA430" s="104"/>
      <c r="DB430" s="104"/>
      <c r="DC430" s="104"/>
      <c r="DD430" s="104"/>
      <c r="DE430" s="104"/>
      <c r="DF430" s="104"/>
      <c r="DG430" s="104"/>
      <c r="DH430" s="104"/>
      <c r="DI430" s="104"/>
      <c r="DJ430" s="104"/>
      <c r="DK430" s="104"/>
      <c r="DL430" s="104"/>
      <c r="DM430" s="104"/>
      <c r="DN430" s="104"/>
      <c r="DO430" s="104"/>
      <c r="DP430" s="104"/>
      <c r="DQ430" s="104"/>
      <c r="DR430" s="104"/>
      <c r="DS430" s="104"/>
      <c r="DT430" s="104"/>
      <c r="DU430" s="104"/>
      <c r="DV430" s="104"/>
      <c r="DW430" s="104"/>
      <c r="DX430" s="104"/>
      <c r="DY430" s="104"/>
      <c r="DZ430" s="104"/>
      <c r="EA430" s="104"/>
      <c r="EB430" s="104"/>
      <c r="EC430" s="104"/>
      <c r="ED430" s="104"/>
      <c r="EE430" s="104"/>
      <c r="EF430" s="104"/>
      <c r="EG430" s="104"/>
      <c r="EH430" s="104"/>
      <c r="EI430" s="104"/>
      <c r="EJ430" s="104"/>
      <c r="EK430" s="104"/>
      <c r="EL430" s="104"/>
      <c r="EM430" s="104"/>
      <c r="EN430" s="104"/>
      <c r="EO430" s="104"/>
      <c r="EP430" s="104"/>
      <c r="EQ430" s="104"/>
      <c r="ER430" s="104"/>
      <c r="ES430" s="104"/>
      <c r="ET430" s="104"/>
      <c r="EU430" s="104"/>
      <c r="EV430" s="104"/>
      <c r="EW430" s="104"/>
      <c r="EX430" s="104"/>
      <c r="EY430" s="104"/>
      <c r="EZ430" s="104"/>
      <c r="FA430" s="104"/>
      <c r="FB430" s="104"/>
      <c r="FC430" s="104"/>
      <c r="FD430" s="104"/>
      <c r="FE430" s="104"/>
      <c r="FF430" s="104"/>
      <c r="FG430" s="104"/>
      <c r="FH430" s="104"/>
      <c r="FI430" s="104"/>
      <c r="FJ430" s="104"/>
      <c r="FK430" s="104"/>
      <c r="FL430" s="104"/>
      <c r="FM430" s="104"/>
      <c r="FN430" s="104"/>
      <c r="FO430" s="104"/>
      <c r="FP430" s="104"/>
      <c r="FQ430" s="104"/>
      <c r="FR430" s="104"/>
      <c r="FS430" s="104"/>
      <c r="FT430" s="104"/>
      <c r="FU430" s="104"/>
      <c r="FV430" s="104"/>
      <c r="FW430" s="104"/>
      <c r="FX430" s="104"/>
      <c r="FY430" s="104"/>
      <c r="FZ430" s="104"/>
      <c r="GA430" s="104"/>
      <c r="GB430" s="104"/>
      <c r="GC430" s="104"/>
      <c r="GD430" s="104"/>
      <c r="GE430" s="104"/>
      <c r="GF430" s="104"/>
      <c r="GG430" s="104"/>
      <c r="GH430" s="104"/>
      <c r="GI430" s="104"/>
      <c r="GJ430" s="104"/>
      <c r="GK430" s="104"/>
      <c r="GL430" s="104"/>
      <c r="GM430" s="104"/>
      <c r="GN430" s="104"/>
      <c r="GO430" s="104"/>
      <c r="GP430" s="104"/>
      <c r="GQ430" s="104"/>
      <c r="GR430" s="104"/>
      <c r="GS430" s="104"/>
      <c r="GT430" s="104"/>
      <c r="GU430" s="104"/>
      <c r="GV430" s="104"/>
      <c r="GW430" s="104"/>
      <c r="GX430" s="104"/>
      <c r="GY430" s="104"/>
      <c r="GZ430" s="104"/>
      <c r="HA430" s="104"/>
      <c r="HB430" s="104"/>
      <c r="HC430" s="104"/>
      <c r="HD430" s="104"/>
      <c r="HE430" s="104"/>
      <c r="HF430" s="104"/>
      <c r="HG430" s="104"/>
    </row>
    <row r="431" spans="1:215" s="139" customFormat="1" outlineLevel="2" x14ac:dyDescent="0.2">
      <c r="A431" s="495" t="s">
        <v>557</v>
      </c>
      <c r="B431" s="150"/>
      <c r="C431" s="129" t="s">
        <v>608</v>
      </c>
      <c r="D431" s="129" t="s">
        <v>613</v>
      </c>
      <c r="E431" s="184" t="s">
        <v>614</v>
      </c>
      <c r="F431" s="130" t="s">
        <v>607</v>
      </c>
      <c r="G431" s="135" t="s">
        <v>103</v>
      </c>
      <c r="H431" s="136" t="s">
        <v>8</v>
      </c>
      <c r="I431" s="134" t="s">
        <v>128</v>
      </c>
      <c r="J431" s="134">
        <v>3</v>
      </c>
      <c r="K431" s="129"/>
      <c r="L431" s="129"/>
      <c r="M431" s="141"/>
      <c r="N431" s="302">
        <f t="shared" si="899"/>
        <v>3</v>
      </c>
      <c r="O431" s="151">
        <v>2942</v>
      </c>
      <c r="P431" s="151">
        <v>2942</v>
      </c>
      <c r="Q431" s="151">
        <v>2942</v>
      </c>
      <c r="R431" s="151">
        <v>2942</v>
      </c>
      <c r="S431" s="132">
        <f t="shared" si="900"/>
        <v>8826</v>
      </c>
      <c r="T431" s="132">
        <f t="shared" si="901"/>
        <v>8826</v>
      </c>
      <c r="U431" s="132">
        <f t="shared" si="902"/>
        <v>0</v>
      </c>
      <c r="V431" s="132">
        <f t="shared" si="903"/>
        <v>0</v>
      </c>
      <c r="W431" s="132">
        <f t="shared" si="904"/>
        <v>0</v>
      </c>
      <c r="X431" s="132">
        <f t="shared" si="905"/>
        <v>8826</v>
      </c>
      <c r="Y431" s="139" t="s">
        <v>934</v>
      </c>
      <c r="Z431" s="393">
        <v>1</v>
      </c>
      <c r="AA431" s="104"/>
      <c r="AB431" s="104"/>
      <c r="AC431" s="521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  <c r="BI431" s="104"/>
      <c r="BJ431" s="104"/>
      <c r="BK431" s="104"/>
      <c r="BL431" s="104"/>
      <c r="BM431" s="104"/>
      <c r="BN431" s="104"/>
      <c r="BO431" s="104"/>
      <c r="BP431" s="104"/>
      <c r="BQ431" s="104"/>
      <c r="BR431" s="104"/>
      <c r="BS431" s="104"/>
      <c r="BT431" s="104"/>
      <c r="BU431" s="104"/>
      <c r="BV431" s="104"/>
      <c r="BW431" s="104"/>
      <c r="BX431" s="104"/>
      <c r="BY431" s="104"/>
      <c r="BZ431" s="104"/>
      <c r="CA431" s="104"/>
      <c r="CB431" s="104"/>
      <c r="CC431" s="104"/>
      <c r="CD431" s="104"/>
      <c r="CE431" s="104"/>
      <c r="CF431" s="104"/>
      <c r="CG431" s="104"/>
      <c r="CH431" s="104"/>
      <c r="CI431" s="104"/>
      <c r="CJ431" s="104"/>
      <c r="CK431" s="104"/>
      <c r="CL431" s="104"/>
      <c r="CM431" s="104"/>
      <c r="CN431" s="104"/>
      <c r="CO431" s="104"/>
      <c r="CP431" s="104"/>
      <c r="CQ431" s="104"/>
      <c r="CR431" s="104"/>
      <c r="CS431" s="104"/>
      <c r="CT431" s="104"/>
      <c r="CU431" s="104"/>
      <c r="CV431" s="104"/>
      <c r="CW431" s="104"/>
      <c r="CX431" s="104"/>
      <c r="CY431" s="104"/>
      <c r="CZ431" s="104"/>
      <c r="DA431" s="104"/>
      <c r="DB431" s="104"/>
      <c r="DC431" s="104"/>
      <c r="DD431" s="104"/>
      <c r="DE431" s="104"/>
      <c r="DF431" s="104"/>
      <c r="DG431" s="104"/>
      <c r="DH431" s="104"/>
      <c r="DI431" s="104"/>
      <c r="DJ431" s="104"/>
      <c r="DK431" s="104"/>
      <c r="DL431" s="104"/>
      <c r="DM431" s="104"/>
      <c r="DN431" s="104"/>
      <c r="DO431" s="104"/>
      <c r="DP431" s="104"/>
      <c r="DQ431" s="104"/>
      <c r="DR431" s="104"/>
      <c r="DS431" s="104"/>
      <c r="DT431" s="104"/>
      <c r="DU431" s="104"/>
      <c r="DV431" s="104"/>
      <c r="DW431" s="104"/>
      <c r="DX431" s="104"/>
      <c r="DY431" s="104"/>
      <c r="DZ431" s="104"/>
      <c r="EA431" s="104"/>
      <c r="EB431" s="104"/>
      <c r="EC431" s="104"/>
      <c r="ED431" s="104"/>
      <c r="EE431" s="104"/>
      <c r="EF431" s="104"/>
      <c r="EG431" s="104"/>
      <c r="EH431" s="104"/>
      <c r="EI431" s="104"/>
      <c r="EJ431" s="104"/>
      <c r="EK431" s="104"/>
      <c r="EL431" s="104"/>
      <c r="EM431" s="104"/>
      <c r="EN431" s="104"/>
      <c r="EO431" s="104"/>
      <c r="EP431" s="104"/>
      <c r="EQ431" s="104"/>
      <c r="ER431" s="104"/>
      <c r="ES431" s="104"/>
      <c r="ET431" s="104"/>
      <c r="EU431" s="104"/>
      <c r="EV431" s="104"/>
      <c r="EW431" s="104"/>
      <c r="EX431" s="104"/>
      <c r="EY431" s="104"/>
      <c r="EZ431" s="104"/>
      <c r="FA431" s="104"/>
      <c r="FB431" s="104"/>
      <c r="FC431" s="104"/>
      <c r="FD431" s="104"/>
      <c r="FE431" s="104"/>
      <c r="FF431" s="104"/>
      <c r="FG431" s="104"/>
      <c r="FH431" s="104"/>
      <c r="FI431" s="104"/>
      <c r="FJ431" s="104"/>
      <c r="FK431" s="104"/>
      <c r="FL431" s="104"/>
      <c r="FM431" s="104"/>
      <c r="FN431" s="104"/>
      <c r="FO431" s="104"/>
      <c r="FP431" s="104"/>
      <c r="FQ431" s="104"/>
      <c r="FR431" s="104"/>
      <c r="FS431" s="104"/>
      <c r="FT431" s="104"/>
      <c r="FU431" s="104"/>
      <c r="FV431" s="104"/>
      <c r="FW431" s="104"/>
      <c r="FX431" s="104"/>
      <c r="FY431" s="104"/>
      <c r="FZ431" s="104"/>
      <c r="GA431" s="104"/>
      <c r="GB431" s="104"/>
      <c r="GC431" s="104"/>
      <c r="GD431" s="104"/>
      <c r="GE431" s="104"/>
      <c r="GF431" s="104"/>
      <c r="GG431" s="104"/>
      <c r="GH431" s="104"/>
      <c r="GI431" s="104"/>
      <c r="GJ431" s="104"/>
      <c r="GK431" s="104"/>
      <c r="GL431" s="104"/>
      <c r="GM431" s="104"/>
      <c r="GN431" s="104"/>
      <c r="GO431" s="104"/>
      <c r="GP431" s="104"/>
      <c r="GQ431" s="104"/>
      <c r="GR431" s="104"/>
      <c r="GS431" s="104"/>
      <c r="GT431" s="104"/>
      <c r="GU431" s="104"/>
      <c r="GV431" s="104"/>
      <c r="GW431" s="104"/>
      <c r="GX431" s="104"/>
      <c r="GY431" s="104"/>
      <c r="GZ431" s="104"/>
      <c r="HA431" s="104"/>
      <c r="HB431" s="104"/>
      <c r="HC431" s="104"/>
      <c r="HD431" s="104"/>
      <c r="HE431" s="104"/>
      <c r="HF431" s="104"/>
      <c r="HG431" s="104"/>
    </row>
    <row r="432" spans="1:215" s="139" customFormat="1" outlineLevel="2" x14ac:dyDescent="0.2">
      <c r="A432" s="495" t="s">
        <v>557</v>
      </c>
      <c r="B432" s="150"/>
      <c r="C432" s="129" t="s">
        <v>608</v>
      </c>
      <c r="D432" s="129" t="s">
        <v>615</v>
      </c>
      <c r="E432" s="184" t="s">
        <v>616</v>
      </c>
      <c r="F432" s="130" t="s">
        <v>607</v>
      </c>
      <c r="G432" s="135" t="s">
        <v>103</v>
      </c>
      <c r="H432" s="136" t="s">
        <v>8</v>
      </c>
      <c r="I432" s="134" t="s">
        <v>68</v>
      </c>
      <c r="J432" s="134">
        <v>5</v>
      </c>
      <c r="K432" s="129"/>
      <c r="L432" s="129"/>
      <c r="M432" s="141"/>
      <c r="N432" s="302">
        <f t="shared" si="899"/>
        <v>5</v>
      </c>
      <c r="O432" s="151">
        <v>4202</v>
      </c>
      <c r="P432" s="151">
        <v>4202</v>
      </c>
      <c r="Q432" s="151">
        <v>4202</v>
      </c>
      <c r="R432" s="151">
        <v>4202</v>
      </c>
      <c r="S432" s="132">
        <f t="shared" si="900"/>
        <v>21010</v>
      </c>
      <c r="T432" s="132">
        <f t="shared" si="901"/>
        <v>21010</v>
      </c>
      <c r="U432" s="132">
        <f t="shared" si="902"/>
        <v>0</v>
      </c>
      <c r="V432" s="132">
        <f t="shared" si="903"/>
        <v>0</v>
      </c>
      <c r="W432" s="132">
        <f t="shared" si="904"/>
        <v>0</v>
      </c>
      <c r="X432" s="132">
        <f t="shared" si="905"/>
        <v>21010</v>
      </c>
      <c r="Y432" s="139" t="s">
        <v>934</v>
      </c>
      <c r="Z432" s="393">
        <v>1</v>
      </c>
      <c r="AA432" s="104"/>
      <c r="AB432" s="104"/>
      <c r="AC432" s="521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  <c r="BI432" s="104"/>
      <c r="BJ432" s="104"/>
      <c r="BK432" s="104"/>
      <c r="BL432" s="104"/>
      <c r="BM432" s="104"/>
      <c r="BN432" s="104"/>
      <c r="BO432" s="104"/>
      <c r="BP432" s="104"/>
      <c r="BQ432" s="104"/>
      <c r="BR432" s="104"/>
      <c r="BS432" s="104"/>
      <c r="BT432" s="104"/>
      <c r="BU432" s="104"/>
      <c r="BV432" s="104"/>
      <c r="BW432" s="104"/>
      <c r="BX432" s="104"/>
      <c r="BY432" s="104"/>
      <c r="BZ432" s="104"/>
      <c r="CA432" s="104"/>
      <c r="CB432" s="104"/>
      <c r="CC432" s="104"/>
      <c r="CD432" s="104"/>
      <c r="CE432" s="104"/>
      <c r="CF432" s="104"/>
      <c r="CG432" s="104"/>
      <c r="CH432" s="104"/>
      <c r="CI432" s="104"/>
      <c r="CJ432" s="104"/>
      <c r="CK432" s="104"/>
      <c r="CL432" s="104"/>
      <c r="CM432" s="104"/>
      <c r="CN432" s="104"/>
      <c r="CO432" s="104"/>
      <c r="CP432" s="104"/>
      <c r="CQ432" s="104"/>
      <c r="CR432" s="104"/>
      <c r="CS432" s="104"/>
      <c r="CT432" s="104"/>
      <c r="CU432" s="104"/>
      <c r="CV432" s="104"/>
      <c r="CW432" s="104"/>
      <c r="CX432" s="104"/>
      <c r="CY432" s="104"/>
      <c r="CZ432" s="104"/>
      <c r="DA432" s="104"/>
      <c r="DB432" s="104"/>
      <c r="DC432" s="104"/>
      <c r="DD432" s="104"/>
      <c r="DE432" s="104"/>
      <c r="DF432" s="104"/>
      <c r="DG432" s="104"/>
      <c r="DH432" s="104"/>
      <c r="DI432" s="104"/>
      <c r="DJ432" s="104"/>
      <c r="DK432" s="104"/>
      <c r="DL432" s="104"/>
      <c r="DM432" s="104"/>
      <c r="DN432" s="104"/>
      <c r="DO432" s="104"/>
      <c r="DP432" s="104"/>
      <c r="DQ432" s="104"/>
      <c r="DR432" s="104"/>
      <c r="DS432" s="104"/>
      <c r="DT432" s="104"/>
      <c r="DU432" s="104"/>
      <c r="DV432" s="104"/>
      <c r="DW432" s="104"/>
      <c r="DX432" s="104"/>
      <c r="DY432" s="104"/>
      <c r="DZ432" s="104"/>
      <c r="EA432" s="104"/>
      <c r="EB432" s="104"/>
      <c r="EC432" s="104"/>
      <c r="ED432" s="104"/>
      <c r="EE432" s="104"/>
      <c r="EF432" s="104"/>
      <c r="EG432" s="104"/>
      <c r="EH432" s="104"/>
      <c r="EI432" s="104"/>
      <c r="EJ432" s="104"/>
      <c r="EK432" s="104"/>
      <c r="EL432" s="104"/>
      <c r="EM432" s="104"/>
      <c r="EN432" s="104"/>
      <c r="EO432" s="104"/>
      <c r="EP432" s="104"/>
      <c r="EQ432" s="104"/>
      <c r="ER432" s="104"/>
      <c r="ES432" s="104"/>
      <c r="ET432" s="104"/>
      <c r="EU432" s="104"/>
      <c r="EV432" s="104"/>
      <c r="EW432" s="104"/>
      <c r="EX432" s="104"/>
      <c r="EY432" s="104"/>
      <c r="EZ432" s="104"/>
      <c r="FA432" s="104"/>
      <c r="FB432" s="104"/>
      <c r="FC432" s="104"/>
      <c r="FD432" s="104"/>
      <c r="FE432" s="104"/>
      <c r="FF432" s="104"/>
      <c r="FG432" s="104"/>
      <c r="FH432" s="104"/>
      <c r="FI432" s="104"/>
      <c r="FJ432" s="104"/>
      <c r="FK432" s="104"/>
      <c r="FL432" s="104"/>
      <c r="FM432" s="104"/>
      <c r="FN432" s="104"/>
      <c r="FO432" s="104"/>
      <c r="FP432" s="104"/>
      <c r="FQ432" s="104"/>
      <c r="FR432" s="104"/>
      <c r="FS432" s="104"/>
      <c r="FT432" s="104"/>
      <c r="FU432" s="104"/>
      <c r="FV432" s="104"/>
      <c r="FW432" s="104"/>
      <c r="FX432" s="104"/>
      <c r="FY432" s="104"/>
      <c r="FZ432" s="104"/>
      <c r="GA432" s="104"/>
      <c r="GB432" s="104"/>
      <c r="GC432" s="104"/>
      <c r="GD432" s="104"/>
      <c r="GE432" s="104"/>
      <c r="GF432" s="104"/>
      <c r="GG432" s="104"/>
      <c r="GH432" s="104"/>
      <c r="GI432" s="104"/>
      <c r="GJ432" s="104"/>
      <c r="GK432" s="104"/>
      <c r="GL432" s="104"/>
      <c r="GM432" s="104"/>
      <c r="GN432" s="104"/>
      <c r="GO432" s="104"/>
      <c r="GP432" s="104"/>
      <c r="GQ432" s="104"/>
      <c r="GR432" s="104"/>
      <c r="GS432" s="104"/>
      <c r="GT432" s="104"/>
      <c r="GU432" s="104"/>
      <c r="GV432" s="104"/>
      <c r="GW432" s="104"/>
      <c r="GX432" s="104"/>
      <c r="GY432" s="104"/>
      <c r="GZ432" s="104"/>
      <c r="HA432" s="104"/>
      <c r="HB432" s="104"/>
      <c r="HC432" s="104"/>
      <c r="HD432" s="104"/>
      <c r="HE432" s="104"/>
      <c r="HF432" s="104"/>
      <c r="HG432" s="104"/>
    </row>
    <row r="433" spans="1:215" s="139" customFormat="1" outlineLevel="2" x14ac:dyDescent="0.2">
      <c r="A433" s="495" t="s">
        <v>557</v>
      </c>
      <c r="B433" s="150"/>
      <c r="C433" s="129" t="s">
        <v>608</v>
      </c>
      <c r="D433" s="129" t="s">
        <v>617</v>
      </c>
      <c r="E433" s="184" t="s">
        <v>618</v>
      </c>
      <c r="F433" s="130" t="s">
        <v>607</v>
      </c>
      <c r="G433" s="135" t="s">
        <v>103</v>
      </c>
      <c r="H433" s="136" t="s">
        <v>9</v>
      </c>
      <c r="I433" s="134" t="s">
        <v>504</v>
      </c>
      <c r="J433" s="134">
        <v>1</v>
      </c>
      <c r="K433" s="129"/>
      <c r="L433" s="129"/>
      <c r="M433" s="141"/>
      <c r="N433" s="302">
        <f t="shared" si="899"/>
        <v>1</v>
      </c>
      <c r="O433" s="151">
        <v>1050</v>
      </c>
      <c r="P433" s="151">
        <v>1050</v>
      </c>
      <c r="Q433" s="151">
        <v>1050</v>
      </c>
      <c r="R433" s="151">
        <v>1050</v>
      </c>
      <c r="S433" s="132">
        <f t="shared" si="900"/>
        <v>1050</v>
      </c>
      <c r="T433" s="132">
        <f t="shared" si="901"/>
        <v>1050</v>
      </c>
      <c r="U433" s="132">
        <f t="shared" si="902"/>
        <v>0</v>
      </c>
      <c r="V433" s="132">
        <f t="shared" si="903"/>
        <v>0</v>
      </c>
      <c r="W433" s="132">
        <f t="shared" si="904"/>
        <v>0</v>
      </c>
      <c r="X433" s="132">
        <f t="shared" si="905"/>
        <v>1050</v>
      </c>
      <c r="Y433" s="139" t="s">
        <v>934</v>
      </c>
      <c r="Z433" s="393">
        <v>1</v>
      </c>
      <c r="AA433" s="104"/>
      <c r="AB433" s="104"/>
      <c r="AC433" s="521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  <c r="BI433" s="104"/>
      <c r="BJ433" s="104"/>
      <c r="BK433" s="104"/>
      <c r="BL433" s="104"/>
      <c r="BM433" s="104"/>
      <c r="BN433" s="104"/>
      <c r="BO433" s="104"/>
      <c r="BP433" s="104"/>
      <c r="BQ433" s="104"/>
      <c r="BR433" s="104"/>
      <c r="BS433" s="104"/>
      <c r="BT433" s="104"/>
      <c r="BU433" s="104"/>
      <c r="BV433" s="104"/>
      <c r="BW433" s="104"/>
      <c r="BX433" s="104"/>
      <c r="BY433" s="104"/>
      <c r="BZ433" s="104"/>
      <c r="CA433" s="104"/>
      <c r="CB433" s="104"/>
      <c r="CC433" s="104"/>
      <c r="CD433" s="104"/>
      <c r="CE433" s="104"/>
      <c r="CF433" s="104"/>
      <c r="CG433" s="104"/>
      <c r="CH433" s="104"/>
      <c r="CI433" s="104"/>
      <c r="CJ433" s="104"/>
      <c r="CK433" s="104"/>
      <c r="CL433" s="104"/>
      <c r="CM433" s="104"/>
      <c r="CN433" s="104"/>
      <c r="CO433" s="104"/>
      <c r="CP433" s="104"/>
      <c r="CQ433" s="104"/>
      <c r="CR433" s="104"/>
      <c r="CS433" s="104"/>
      <c r="CT433" s="104"/>
      <c r="CU433" s="104"/>
      <c r="CV433" s="104"/>
      <c r="CW433" s="104"/>
      <c r="CX433" s="104"/>
      <c r="CY433" s="104"/>
      <c r="CZ433" s="104"/>
      <c r="DA433" s="104"/>
      <c r="DB433" s="104"/>
      <c r="DC433" s="104"/>
      <c r="DD433" s="104"/>
      <c r="DE433" s="104"/>
      <c r="DF433" s="104"/>
      <c r="DG433" s="104"/>
      <c r="DH433" s="104"/>
      <c r="DI433" s="104"/>
      <c r="DJ433" s="104"/>
      <c r="DK433" s="104"/>
      <c r="DL433" s="104"/>
      <c r="DM433" s="104"/>
      <c r="DN433" s="104"/>
      <c r="DO433" s="104"/>
      <c r="DP433" s="104"/>
      <c r="DQ433" s="104"/>
      <c r="DR433" s="104"/>
      <c r="DS433" s="104"/>
      <c r="DT433" s="104"/>
      <c r="DU433" s="104"/>
      <c r="DV433" s="104"/>
      <c r="DW433" s="104"/>
      <c r="DX433" s="104"/>
      <c r="DY433" s="104"/>
      <c r="DZ433" s="104"/>
      <c r="EA433" s="104"/>
      <c r="EB433" s="104"/>
      <c r="EC433" s="104"/>
      <c r="ED433" s="104"/>
      <c r="EE433" s="104"/>
      <c r="EF433" s="104"/>
      <c r="EG433" s="104"/>
      <c r="EH433" s="104"/>
      <c r="EI433" s="104"/>
      <c r="EJ433" s="104"/>
      <c r="EK433" s="104"/>
      <c r="EL433" s="104"/>
      <c r="EM433" s="104"/>
      <c r="EN433" s="104"/>
      <c r="EO433" s="104"/>
      <c r="EP433" s="104"/>
      <c r="EQ433" s="104"/>
      <c r="ER433" s="104"/>
      <c r="ES433" s="104"/>
      <c r="ET433" s="104"/>
      <c r="EU433" s="104"/>
      <c r="EV433" s="104"/>
      <c r="EW433" s="104"/>
      <c r="EX433" s="104"/>
      <c r="EY433" s="104"/>
      <c r="EZ433" s="104"/>
      <c r="FA433" s="104"/>
      <c r="FB433" s="104"/>
      <c r="FC433" s="104"/>
      <c r="FD433" s="104"/>
      <c r="FE433" s="104"/>
      <c r="FF433" s="104"/>
      <c r="FG433" s="104"/>
      <c r="FH433" s="104"/>
      <c r="FI433" s="104"/>
      <c r="FJ433" s="104"/>
      <c r="FK433" s="104"/>
      <c r="FL433" s="104"/>
      <c r="FM433" s="104"/>
      <c r="FN433" s="104"/>
      <c r="FO433" s="104"/>
      <c r="FP433" s="104"/>
      <c r="FQ433" s="104"/>
      <c r="FR433" s="104"/>
      <c r="FS433" s="104"/>
      <c r="FT433" s="104"/>
      <c r="FU433" s="104"/>
      <c r="FV433" s="104"/>
      <c r="FW433" s="104"/>
      <c r="FX433" s="104"/>
      <c r="FY433" s="104"/>
      <c r="FZ433" s="104"/>
      <c r="GA433" s="104"/>
      <c r="GB433" s="104"/>
      <c r="GC433" s="104"/>
      <c r="GD433" s="104"/>
      <c r="GE433" s="104"/>
      <c r="GF433" s="104"/>
      <c r="GG433" s="104"/>
      <c r="GH433" s="104"/>
      <c r="GI433" s="104"/>
      <c r="GJ433" s="104"/>
      <c r="GK433" s="104"/>
      <c r="GL433" s="104"/>
      <c r="GM433" s="104"/>
      <c r="GN433" s="104"/>
      <c r="GO433" s="104"/>
      <c r="GP433" s="104"/>
      <c r="GQ433" s="104"/>
      <c r="GR433" s="104"/>
      <c r="GS433" s="104"/>
      <c r="GT433" s="104"/>
      <c r="GU433" s="104"/>
      <c r="GV433" s="104"/>
      <c r="GW433" s="104"/>
      <c r="GX433" s="104"/>
      <c r="GY433" s="104"/>
      <c r="GZ433" s="104"/>
      <c r="HA433" s="104"/>
      <c r="HB433" s="104"/>
      <c r="HC433" s="104"/>
      <c r="HD433" s="104"/>
      <c r="HE433" s="104"/>
      <c r="HF433" s="104"/>
      <c r="HG433" s="104"/>
    </row>
    <row r="434" spans="1:215" s="139" customFormat="1" outlineLevel="2" x14ac:dyDescent="0.2">
      <c r="A434" s="495" t="s">
        <v>557</v>
      </c>
      <c r="B434" s="150"/>
      <c r="C434" s="129" t="s">
        <v>608</v>
      </c>
      <c r="D434" s="129" t="s">
        <v>619</v>
      </c>
      <c r="E434" s="184" t="s">
        <v>620</v>
      </c>
      <c r="F434" s="130" t="s">
        <v>607</v>
      </c>
      <c r="G434" s="135" t="s">
        <v>103</v>
      </c>
      <c r="H434" s="136" t="s">
        <v>8</v>
      </c>
      <c r="I434" s="134" t="s">
        <v>68</v>
      </c>
      <c r="J434" s="134">
        <v>1</v>
      </c>
      <c r="K434" s="129"/>
      <c r="L434" s="129"/>
      <c r="M434" s="141"/>
      <c r="N434" s="302">
        <f t="shared" si="899"/>
        <v>1</v>
      </c>
      <c r="O434" s="151">
        <v>1576</v>
      </c>
      <c r="P434" s="151">
        <v>1576</v>
      </c>
      <c r="Q434" s="151">
        <v>1576</v>
      </c>
      <c r="R434" s="151">
        <v>1576</v>
      </c>
      <c r="S434" s="132">
        <f t="shared" si="900"/>
        <v>1576</v>
      </c>
      <c r="T434" s="132">
        <f t="shared" si="901"/>
        <v>1576</v>
      </c>
      <c r="U434" s="132">
        <f t="shared" si="902"/>
        <v>0</v>
      </c>
      <c r="V434" s="132">
        <f t="shared" si="903"/>
        <v>0</v>
      </c>
      <c r="W434" s="132">
        <f t="shared" si="904"/>
        <v>0</v>
      </c>
      <c r="X434" s="132">
        <f t="shared" si="905"/>
        <v>1576</v>
      </c>
      <c r="Y434" s="139" t="s">
        <v>934</v>
      </c>
      <c r="Z434" s="393">
        <v>1</v>
      </c>
      <c r="AA434" s="104"/>
      <c r="AB434" s="104"/>
      <c r="AC434" s="521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  <c r="BI434" s="104"/>
      <c r="BJ434" s="104"/>
      <c r="BK434" s="104"/>
      <c r="BL434" s="104"/>
      <c r="BM434" s="104"/>
      <c r="BN434" s="104"/>
      <c r="BO434" s="104"/>
      <c r="BP434" s="104"/>
      <c r="BQ434" s="104"/>
      <c r="BR434" s="104"/>
      <c r="BS434" s="104"/>
      <c r="BT434" s="104"/>
      <c r="BU434" s="104"/>
      <c r="BV434" s="104"/>
      <c r="BW434" s="104"/>
      <c r="BX434" s="104"/>
      <c r="BY434" s="104"/>
      <c r="BZ434" s="104"/>
      <c r="CA434" s="104"/>
      <c r="CB434" s="104"/>
      <c r="CC434" s="104"/>
      <c r="CD434" s="104"/>
      <c r="CE434" s="104"/>
      <c r="CF434" s="104"/>
      <c r="CG434" s="104"/>
      <c r="CH434" s="104"/>
      <c r="CI434" s="104"/>
      <c r="CJ434" s="104"/>
      <c r="CK434" s="104"/>
      <c r="CL434" s="104"/>
      <c r="CM434" s="104"/>
      <c r="CN434" s="104"/>
      <c r="CO434" s="104"/>
      <c r="CP434" s="104"/>
      <c r="CQ434" s="104"/>
      <c r="CR434" s="104"/>
      <c r="CS434" s="104"/>
      <c r="CT434" s="104"/>
      <c r="CU434" s="104"/>
      <c r="CV434" s="104"/>
      <c r="CW434" s="104"/>
      <c r="CX434" s="104"/>
      <c r="CY434" s="104"/>
      <c r="CZ434" s="104"/>
      <c r="DA434" s="104"/>
      <c r="DB434" s="104"/>
      <c r="DC434" s="104"/>
      <c r="DD434" s="104"/>
      <c r="DE434" s="104"/>
      <c r="DF434" s="104"/>
      <c r="DG434" s="104"/>
      <c r="DH434" s="104"/>
      <c r="DI434" s="104"/>
      <c r="DJ434" s="104"/>
      <c r="DK434" s="104"/>
      <c r="DL434" s="104"/>
      <c r="DM434" s="104"/>
      <c r="DN434" s="104"/>
      <c r="DO434" s="104"/>
      <c r="DP434" s="104"/>
      <c r="DQ434" s="104"/>
      <c r="DR434" s="104"/>
      <c r="DS434" s="104"/>
      <c r="DT434" s="104"/>
      <c r="DU434" s="104"/>
      <c r="DV434" s="104"/>
      <c r="DW434" s="104"/>
      <c r="DX434" s="104"/>
      <c r="DY434" s="104"/>
      <c r="DZ434" s="104"/>
      <c r="EA434" s="104"/>
      <c r="EB434" s="104"/>
      <c r="EC434" s="104"/>
      <c r="ED434" s="104"/>
      <c r="EE434" s="104"/>
      <c r="EF434" s="104"/>
      <c r="EG434" s="104"/>
      <c r="EH434" s="104"/>
      <c r="EI434" s="104"/>
      <c r="EJ434" s="104"/>
      <c r="EK434" s="104"/>
      <c r="EL434" s="104"/>
      <c r="EM434" s="104"/>
      <c r="EN434" s="104"/>
      <c r="EO434" s="104"/>
      <c r="EP434" s="104"/>
      <c r="EQ434" s="104"/>
      <c r="ER434" s="104"/>
      <c r="ES434" s="104"/>
      <c r="ET434" s="104"/>
      <c r="EU434" s="104"/>
      <c r="EV434" s="104"/>
      <c r="EW434" s="104"/>
      <c r="EX434" s="104"/>
      <c r="EY434" s="104"/>
      <c r="EZ434" s="104"/>
      <c r="FA434" s="104"/>
      <c r="FB434" s="104"/>
      <c r="FC434" s="104"/>
      <c r="FD434" s="104"/>
      <c r="FE434" s="104"/>
      <c r="FF434" s="104"/>
      <c r="FG434" s="104"/>
      <c r="FH434" s="104"/>
      <c r="FI434" s="104"/>
      <c r="FJ434" s="104"/>
      <c r="FK434" s="104"/>
      <c r="FL434" s="104"/>
      <c r="FM434" s="104"/>
      <c r="FN434" s="104"/>
      <c r="FO434" s="104"/>
      <c r="FP434" s="104"/>
      <c r="FQ434" s="104"/>
      <c r="FR434" s="104"/>
      <c r="FS434" s="104"/>
      <c r="FT434" s="104"/>
      <c r="FU434" s="104"/>
      <c r="FV434" s="104"/>
      <c r="FW434" s="104"/>
      <c r="FX434" s="104"/>
      <c r="FY434" s="104"/>
      <c r="FZ434" s="104"/>
      <c r="GA434" s="104"/>
      <c r="GB434" s="104"/>
      <c r="GC434" s="104"/>
      <c r="GD434" s="104"/>
      <c r="GE434" s="104"/>
      <c r="GF434" s="104"/>
      <c r="GG434" s="104"/>
      <c r="GH434" s="104"/>
      <c r="GI434" s="104"/>
      <c r="GJ434" s="104"/>
      <c r="GK434" s="104"/>
      <c r="GL434" s="104"/>
      <c r="GM434" s="104"/>
      <c r="GN434" s="104"/>
      <c r="GO434" s="104"/>
      <c r="GP434" s="104"/>
      <c r="GQ434" s="104"/>
      <c r="GR434" s="104"/>
      <c r="GS434" s="104"/>
      <c r="GT434" s="104"/>
      <c r="GU434" s="104"/>
      <c r="GV434" s="104"/>
      <c r="GW434" s="104"/>
      <c r="GX434" s="104"/>
      <c r="GY434" s="104"/>
      <c r="GZ434" s="104"/>
      <c r="HA434" s="104"/>
      <c r="HB434" s="104"/>
      <c r="HC434" s="104"/>
      <c r="HD434" s="104"/>
      <c r="HE434" s="104"/>
      <c r="HF434" s="104"/>
      <c r="HG434" s="104"/>
    </row>
    <row r="435" spans="1:215" s="139" customFormat="1" outlineLevel="2" x14ac:dyDescent="0.2">
      <c r="A435" s="495" t="s">
        <v>557</v>
      </c>
      <c r="B435" s="150"/>
      <c r="C435" s="129" t="s">
        <v>608</v>
      </c>
      <c r="D435" s="129" t="s">
        <v>621</v>
      </c>
      <c r="E435" s="184" t="s">
        <v>622</v>
      </c>
      <c r="F435" s="130" t="s">
        <v>607</v>
      </c>
      <c r="G435" s="135" t="s">
        <v>103</v>
      </c>
      <c r="H435" s="136" t="s">
        <v>8</v>
      </c>
      <c r="I435" s="134" t="s">
        <v>168</v>
      </c>
      <c r="J435" s="134">
        <v>29</v>
      </c>
      <c r="K435" s="129"/>
      <c r="L435" s="129"/>
      <c r="M435" s="141"/>
      <c r="N435" s="302">
        <f t="shared" si="899"/>
        <v>29</v>
      </c>
      <c r="O435" s="151">
        <v>4660</v>
      </c>
      <c r="P435" s="151">
        <v>4660</v>
      </c>
      <c r="Q435" s="151">
        <v>4660</v>
      </c>
      <c r="R435" s="151">
        <v>4660</v>
      </c>
      <c r="S435" s="132">
        <f t="shared" si="900"/>
        <v>135140</v>
      </c>
      <c r="T435" s="132">
        <f t="shared" si="901"/>
        <v>135140</v>
      </c>
      <c r="U435" s="132">
        <f t="shared" si="902"/>
        <v>0</v>
      </c>
      <c r="V435" s="132">
        <f t="shared" si="903"/>
        <v>0</v>
      </c>
      <c r="W435" s="132">
        <f t="shared" si="904"/>
        <v>0</v>
      </c>
      <c r="X435" s="132">
        <f t="shared" si="905"/>
        <v>135140</v>
      </c>
      <c r="Y435" s="139" t="s">
        <v>934</v>
      </c>
      <c r="Z435" s="393">
        <v>1</v>
      </c>
      <c r="AA435" s="104"/>
      <c r="AB435" s="104"/>
      <c r="AC435" s="521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  <c r="BI435" s="104"/>
      <c r="BJ435" s="104"/>
      <c r="BK435" s="104"/>
      <c r="BL435" s="104"/>
      <c r="BM435" s="104"/>
      <c r="BN435" s="104"/>
      <c r="BO435" s="104"/>
      <c r="BP435" s="104"/>
      <c r="BQ435" s="104"/>
      <c r="BR435" s="104"/>
      <c r="BS435" s="104"/>
      <c r="BT435" s="104"/>
      <c r="BU435" s="104"/>
      <c r="BV435" s="104"/>
      <c r="BW435" s="104"/>
      <c r="BX435" s="104"/>
      <c r="BY435" s="104"/>
      <c r="BZ435" s="104"/>
      <c r="CA435" s="104"/>
      <c r="CB435" s="104"/>
      <c r="CC435" s="104"/>
      <c r="CD435" s="104"/>
      <c r="CE435" s="104"/>
      <c r="CF435" s="104"/>
      <c r="CG435" s="104"/>
      <c r="CH435" s="104"/>
      <c r="CI435" s="104"/>
      <c r="CJ435" s="104"/>
      <c r="CK435" s="104"/>
      <c r="CL435" s="104"/>
      <c r="CM435" s="104"/>
      <c r="CN435" s="104"/>
      <c r="CO435" s="104"/>
      <c r="CP435" s="104"/>
      <c r="CQ435" s="104"/>
      <c r="CR435" s="104"/>
      <c r="CS435" s="104"/>
      <c r="CT435" s="104"/>
      <c r="CU435" s="104"/>
      <c r="CV435" s="104"/>
      <c r="CW435" s="104"/>
      <c r="CX435" s="104"/>
      <c r="CY435" s="104"/>
      <c r="CZ435" s="104"/>
      <c r="DA435" s="104"/>
      <c r="DB435" s="104"/>
      <c r="DC435" s="104"/>
      <c r="DD435" s="104"/>
      <c r="DE435" s="104"/>
      <c r="DF435" s="104"/>
      <c r="DG435" s="104"/>
      <c r="DH435" s="104"/>
      <c r="DI435" s="104"/>
      <c r="DJ435" s="104"/>
      <c r="DK435" s="104"/>
      <c r="DL435" s="104"/>
      <c r="DM435" s="104"/>
      <c r="DN435" s="104"/>
      <c r="DO435" s="104"/>
      <c r="DP435" s="104"/>
      <c r="DQ435" s="104"/>
      <c r="DR435" s="104"/>
      <c r="DS435" s="104"/>
      <c r="DT435" s="104"/>
      <c r="DU435" s="104"/>
      <c r="DV435" s="104"/>
      <c r="DW435" s="104"/>
      <c r="DX435" s="104"/>
      <c r="DY435" s="104"/>
      <c r="DZ435" s="104"/>
      <c r="EA435" s="104"/>
      <c r="EB435" s="104"/>
      <c r="EC435" s="104"/>
      <c r="ED435" s="104"/>
      <c r="EE435" s="104"/>
      <c r="EF435" s="104"/>
      <c r="EG435" s="104"/>
      <c r="EH435" s="104"/>
      <c r="EI435" s="104"/>
      <c r="EJ435" s="104"/>
      <c r="EK435" s="104"/>
      <c r="EL435" s="104"/>
      <c r="EM435" s="104"/>
      <c r="EN435" s="104"/>
      <c r="EO435" s="104"/>
      <c r="EP435" s="104"/>
      <c r="EQ435" s="104"/>
      <c r="ER435" s="104"/>
      <c r="ES435" s="104"/>
      <c r="ET435" s="104"/>
      <c r="EU435" s="104"/>
      <c r="EV435" s="104"/>
      <c r="EW435" s="104"/>
      <c r="EX435" s="104"/>
      <c r="EY435" s="104"/>
      <c r="EZ435" s="104"/>
      <c r="FA435" s="104"/>
      <c r="FB435" s="104"/>
      <c r="FC435" s="104"/>
      <c r="FD435" s="104"/>
      <c r="FE435" s="104"/>
      <c r="FF435" s="104"/>
      <c r="FG435" s="104"/>
      <c r="FH435" s="104"/>
      <c r="FI435" s="104"/>
      <c r="FJ435" s="104"/>
      <c r="FK435" s="104"/>
      <c r="FL435" s="104"/>
      <c r="FM435" s="104"/>
      <c r="FN435" s="104"/>
      <c r="FO435" s="104"/>
      <c r="FP435" s="104"/>
      <c r="FQ435" s="104"/>
      <c r="FR435" s="104"/>
      <c r="FS435" s="104"/>
      <c r="FT435" s="104"/>
      <c r="FU435" s="104"/>
      <c r="FV435" s="104"/>
      <c r="FW435" s="104"/>
      <c r="FX435" s="104"/>
      <c r="FY435" s="104"/>
      <c r="FZ435" s="104"/>
      <c r="GA435" s="104"/>
      <c r="GB435" s="104"/>
      <c r="GC435" s="104"/>
      <c r="GD435" s="104"/>
      <c r="GE435" s="104"/>
      <c r="GF435" s="104"/>
      <c r="GG435" s="104"/>
      <c r="GH435" s="104"/>
      <c r="GI435" s="104"/>
      <c r="GJ435" s="104"/>
      <c r="GK435" s="104"/>
      <c r="GL435" s="104"/>
      <c r="GM435" s="104"/>
      <c r="GN435" s="104"/>
      <c r="GO435" s="104"/>
      <c r="GP435" s="104"/>
      <c r="GQ435" s="104"/>
      <c r="GR435" s="104"/>
      <c r="GS435" s="104"/>
      <c r="GT435" s="104"/>
      <c r="GU435" s="104"/>
      <c r="GV435" s="104"/>
      <c r="GW435" s="104"/>
      <c r="GX435" s="104"/>
      <c r="GY435" s="104"/>
      <c r="GZ435" s="104"/>
      <c r="HA435" s="104"/>
      <c r="HB435" s="104"/>
      <c r="HC435" s="104"/>
      <c r="HD435" s="104"/>
      <c r="HE435" s="104"/>
      <c r="HF435" s="104"/>
      <c r="HG435" s="104"/>
    </row>
    <row r="436" spans="1:215" ht="12.75" customHeight="1" outlineLevel="2" x14ac:dyDescent="0.2">
      <c r="A436" s="495" t="s">
        <v>557</v>
      </c>
      <c r="B436" s="127"/>
      <c r="C436" s="134"/>
      <c r="D436" s="134" t="s">
        <v>676</v>
      </c>
      <c r="E436" s="359" t="s">
        <v>677</v>
      </c>
      <c r="F436" s="130" t="s">
        <v>607</v>
      </c>
      <c r="G436" s="136" t="s">
        <v>103</v>
      </c>
      <c r="H436" s="136" t="s">
        <v>8</v>
      </c>
      <c r="I436" s="134" t="s">
        <v>68</v>
      </c>
      <c r="J436" s="134">
        <v>3</v>
      </c>
      <c r="K436" s="129"/>
      <c r="L436" s="129"/>
      <c r="M436" s="141"/>
      <c r="N436" s="302">
        <f t="shared" ref="N436:N438" si="906">SUM(J436:M436)</f>
        <v>3</v>
      </c>
      <c r="O436" s="146">
        <v>4600</v>
      </c>
      <c r="P436" s="146">
        <v>4600</v>
      </c>
      <c r="Q436" s="146">
        <v>4600</v>
      </c>
      <c r="R436" s="146">
        <v>4600</v>
      </c>
      <c r="S436" s="132">
        <f t="shared" ref="S436" si="907">SUMPRODUCT(J436:M436,O436:R436)</f>
        <v>13800</v>
      </c>
      <c r="T436" s="132">
        <f t="shared" ref="T436" si="908">IF(O436&gt;prisgrense,J436*prisgrense,J436*O436)</f>
        <v>13800</v>
      </c>
      <c r="U436" s="132">
        <f t="shared" ref="U436" si="909">IF(P436&gt;prisgrense,K436*prisgrense,K436*P436)</f>
        <v>0</v>
      </c>
      <c r="V436" s="132">
        <f t="shared" ref="V436" si="910">IF(Q436&gt;prisgrense,L436*prisgrense,L436*Q436)</f>
        <v>0</v>
      </c>
      <c r="W436" s="132">
        <f t="shared" ref="W436" si="911">IF(R436&gt;prisgrense,M436*prisgrense,M436*R436)</f>
        <v>0</v>
      </c>
      <c r="X436" s="132">
        <f t="shared" ref="X436" si="912">SUM(T436:W436)</f>
        <v>13800</v>
      </c>
      <c r="Y436" s="139" t="s">
        <v>821</v>
      </c>
      <c r="Z436" s="393">
        <v>4</v>
      </c>
      <c r="AC436" s="521"/>
    </row>
    <row r="437" spans="1:215" ht="12.75" customHeight="1" outlineLevel="2" x14ac:dyDescent="0.2">
      <c r="A437" s="495" t="s">
        <v>557</v>
      </c>
      <c r="B437" s="150"/>
      <c r="C437" s="129"/>
      <c r="D437" s="129" t="s">
        <v>246</v>
      </c>
      <c r="E437" s="184" t="s">
        <v>247</v>
      </c>
      <c r="F437" s="130" t="s">
        <v>607</v>
      </c>
      <c r="G437" s="135" t="s">
        <v>103</v>
      </c>
      <c r="H437" s="136" t="s">
        <v>8</v>
      </c>
      <c r="I437" s="134" t="s">
        <v>168</v>
      </c>
      <c r="J437" s="134">
        <v>3</v>
      </c>
      <c r="K437" s="129"/>
      <c r="L437" s="129"/>
      <c r="M437" s="141"/>
      <c r="N437" s="302">
        <f t="shared" si="906"/>
        <v>3</v>
      </c>
      <c r="O437" s="146">
        <v>4355</v>
      </c>
      <c r="P437" s="146">
        <v>4355</v>
      </c>
      <c r="Q437" s="146">
        <v>4355</v>
      </c>
      <c r="R437" s="146">
        <v>4355</v>
      </c>
      <c r="S437" s="132">
        <f>SUMPRODUCT(J437:M437,O437:R437)</f>
        <v>13065</v>
      </c>
      <c r="T437" s="132">
        <f t="shared" ref="T437:W438" si="913">IF(O437&gt;prisgrense,J437*prisgrense,J437*O437)</f>
        <v>13065</v>
      </c>
      <c r="U437" s="132">
        <f t="shared" si="913"/>
        <v>0</v>
      </c>
      <c r="V437" s="132">
        <f t="shared" si="913"/>
        <v>0</v>
      </c>
      <c r="W437" s="132">
        <f t="shared" si="913"/>
        <v>0</v>
      </c>
      <c r="X437" s="132">
        <f>SUM(T437:W437)</f>
        <v>13065</v>
      </c>
      <c r="Y437" s="139" t="s">
        <v>782</v>
      </c>
      <c r="Z437" s="393">
        <v>7</v>
      </c>
      <c r="AC437" s="521"/>
    </row>
    <row r="438" spans="1:215" s="152" customFormat="1" ht="12.75" customHeight="1" outlineLevel="2" x14ac:dyDescent="0.2">
      <c r="A438" s="495" t="s">
        <v>557</v>
      </c>
      <c r="B438" s="150"/>
      <c r="C438" s="129"/>
      <c r="D438" s="129" t="s">
        <v>549</v>
      </c>
      <c r="E438" s="184" t="s">
        <v>550</v>
      </c>
      <c r="F438" s="130" t="s">
        <v>607</v>
      </c>
      <c r="G438" s="135" t="s">
        <v>103</v>
      </c>
      <c r="H438" s="135" t="s">
        <v>8</v>
      </c>
      <c r="I438" s="129" t="s">
        <v>168</v>
      </c>
      <c r="J438" s="129">
        <v>1</v>
      </c>
      <c r="K438" s="129"/>
      <c r="L438" s="129"/>
      <c r="M438" s="141"/>
      <c r="N438" s="302">
        <f t="shared" si="906"/>
        <v>1</v>
      </c>
      <c r="O438" s="146">
        <v>2904</v>
      </c>
      <c r="P438" s="146">
        <v>2904</v>
      </c>
      <c r="Q438" s="146">
        <v>2904</v>
      </c>
      <c r="R438" s="146">
        <v>2904</v>
      </c>
      <c r="S438" s="132">
        <f>SUMPRODUCT(J438:M438,O438:R438)</f>
        <v>2904</v>
      </c>
      <c r="T438" s="132">
        <f t="shared" si="913"/>
        <v>2904</v>
      </c>
      <c r="U438" s="132">
        <f t="shared" si="913"/>
        <v>0</v>
      </c>
      <c r="V438" s="132">
        <f t="shared" si="913"/>
        <v>0</v>
      </c>
      <c r="W438" s="132">
        <f t="shared" si="913"/>
        <v>0</v>
      </c>
      <c r="X438" s="132">
        <f>SUM(T438:W438)</f>
        <v>2904</v>
      </c>
      <c r="Y438" s="157" t="s">
        <v>754</v>
      </c>
      <c r="Z438" s="395">
        <v>6</v>
      </c>
      <c r="AC438" s="521"/>
    </row>
    <row r="439" spans="1:215" ht="12.75" customHeight="1" outlineLevel="2" x14ac:dyDescent="0.2">
      <c r="A439" s="495" t="s">
        <v>557</v>
      </c>
      <c r="B439" s="150"/>
      <c r="C439" s="129"/>
      <c r="D439" s="129" t="s">
        <v>248</v>
      </c>
      <c r="E439" s="184" t="s">
        <v>249</v>
      </c>
      <c r="F439" s="130" t="s">
        <v>607</v>
      </c>
      <c r="G439" s="137" t="s">
        <v>103</v>
      </c>
      <c r="H439" s="136" t="s">
        <v>8</v>
      </c>
      <c r="I439" s="134" t="s">
        <v>128</v>
      </c>
      <c r="J439" s="134"/>
      <c r="K439" s="129"/>
      <c r="L439" s="129"/>
      <c r="M439" s="141"/>
      <c r="N439" s="302">
        <f t="shared" ref="N439" si="914">SUM(J439:M439)</f>
        <v>0</v>
      </c>
      <c r="O439" s="132">
        <v>2904</v>
      </c>
      <c r="P439" s="132">
        <v>2904</v>
      </c>
      <c r="Q439" s="132">
        <v>2904</v>
      </c>
      <c r="R439" s="132">
        <v>2904</v>
      </c>
      <c r="S439" s="132">
        <f t="shared" ref="S439:S440" si="915">SUMPRODUCT(J439:M439,O439:R439)</f>
        <v>0</v>
      </c>
      <c r="T439" s="132">
        <f t="shared" si="835"/>
        <v>0</v>
      </c>
      <c r="U439" s="132">
        <f t="shared" si="836"/>
        <v>0</v>
      </c>
      <c r="V439" s="132">
        <f t="shared" si="837"/>
        <v>0</v>
      </c>
      <c r="W439" s="132">
        <f t="shared" si="838"/>
        <v>0</v>
      </c>
      <c r="X439" s="132">
        <f t="shared" ref="X439" si="916">SUM(T439:W439)</f>
        <v>0</v>
      </c>
      <c r="Y439" s="139" t="s">
        <v>751</v>
      </c>
      <c r="Z439" s="393">
        <v>2</v>
      </c>
      <c r="AC439" s="521"/>
    </row>
    <row r="440" spans="1:215" outlineLevel="2" x14ac:dyDescent="0.2">
      <c r="A440" s="495" t="s">
        <v>557</v>
      </c>
      <c r="B440" s="150"/>
      <c r="C440" s="129" t="s">
        <v>667</v>
      </c>
      <c r="D440" s="129" t="s">
        <v>668</v>
      </c>
      <c r="E440" s="184" t="s">
        <v>669</v>
      </c>
      <c r="F440" s="130" t="s">
        <v>607</v>
      </c>
      <c r="G440" s="135" t="s">
        <v>103</v>
      </c>
      <c r="H440" s="136" t="s">
        <v>21</v>
      </c>
      <c r="I440" s="134" t="s">
        <v>504</v>
      </c>
      <c r="J440" s="134">
        <v>8</v>
      </c>
      <c r="K440" s="129"/>
      <c r="L440" s="129"/>
      <c r="M440" s="141"/>
      <c r="N440" s="302">
        <f t="shared" ref="N440" si="917">SUM(J440:M440)</f>
        <v>8</v>
      </c>
      <c r="O440" s="151">
        <v>1037</v>
      </c>
      <c r="P440" s="151">
        <v>1037</v>
      </c>
      <c r="Q440" s="151">
        <v>1037</v>
      </c>
      <c r="R440" s="151">
        <v>1037</v>
      </c>
      <c r="S440" s="132">
        <f t="shared" si="915"/>
        <v>8296</v>
      </c>
      <c r="T440" s="132">
        <f t="shared" si="835"/>
        <v>8296</v>
      </c>
      <c r="U440" s="132">
        <f t="shared" si="836"/>
        <v>0</v>
      </c>
      <c r="V440" s="132">
        <f t="shared" si="837"/>
        <v>0</v>
      </c>
      <c r="W440" s="132">
        <f t="shared" si="838"/>
        <v>0</v>
      </c>
      <c r="X440" s="132">
        <f t="shared" ref="X440" si="918">SUM(T440:W440)</f>
        <v>8296</v>
      </c>
      <c r="Y440" s="393" t="s">
        <v>686</v>
      </c>
      <c r="Z440" s="393">
        <v>1</v>
      </c>
      <c r="AC440" s="521"/>
    </row>
    <row r="441" spans="1:215" ht="12.75" customHeight="1" outlineLevel="2" x14ac:dyDescent="0.2">
      <c r="A441" s="495" t="s">
        <v>557</v>
      </c>
      <c r="B441" s="150"/>
      <c r="C441" s="156"/>
      <c r="D441" s="129" t="s">
        <v>538</v>
      </c>
      <c r="E441" s="184" t="s">
        <v>539</v>
      </c>
      <c r="F441" s="130" t="s">
        <v>607</v>
      </c>
      <c r="G441" s="135" t="s">
        <v>103</v>
      </c>
      <c r="H441" s="143" t="s">
        <v>8</v>
      </c>
      <c r="I441" s="129" t="s">
        <v>168</v>
      </c>
      <c r="J441" s="129"/>
      <c r="K441" s="129"/>
      <c r="L441" s="129"/>
      <c r="M441" s="141"/>
      <c r="N441" s="302">
        <f t="shared" ref="N441:N452" si="919">SUM(J441:M441)</f>
        <v>0</v>
      </c>
      <c r="O441" s="146">
        <v>2990</v>
      </c>
      <c r="P441" s="146">
        <v>2990</v>
      </c>
      <c r="Q441" s="146">
        <v>2990</v>
      </c>
      <c r="R441" s="146">
        <v>2990</v>
      </c>
      <c r="S441" s="132">
        <f t="shared" ref="S441:S454" si="920">SUMPRODUCT(J441:M441,O441:R441)</f>
        <v>0</v>
      </c>
      <c r="T441" s="132">
        <f t="shared" ref="T441:T454" si="921">IF(O441&gt;prisgrense,J441*prisgrense,J441*O441)</f>
        <v>0</v>
      </c>
      <c r="U441" s="132">
        <f t="shared" ref="U441:U454" si="922">IF(P441&gt;prisgrense,K441*prisgrense,K441*P441)</f>
        <v>0</v>
      </c>
      <c r="V441" s="132">
        <f t="shared" ref="V441:V454" si="923">IF(Q441&gt;prisgrense,L441*prisgrense,L441*Q441)</f>
        <v>0</v>
      </c>
      <c r="W441" s="132">
        <f t="shared" ref="W441:W454" si="924">IF(R441&gt;prisgrense,M441*prisgrense,M441*R441)</f>
        <v>0</v>
      </c>
      <c r="X441" s="132">
        <f t="shared" ref="X441:X454" si="925">SUM(T441:W441)</f>
        <v>0</v>
      </c>
      <c r="AC441" s="521"/>
    </row>
    <row r="442" spans="1:215" ht="12.75" customHeight="1" outlineLevel="2" x14ac:dyDescent="0.2">
      <c r="A442" s="495" t="s">
        <v>557</v>
      </c>
      <c r="B442" s="150"/>
      <c r="C442" s="156"/>
      <c r="D442" s="129" t="s">
        <v>540</v>
      </c>
      <c r="E442" s="184" t="s">
        <v>541</v>
      </c>
      <c r="F442" s="130" t="s">
        <v>607</v>
      </c>
      <c r="G442" s="135" t="s">
        <v>103</v>
      </c>
      <c r="H442" s="143" t="s">
        <v>8</v>
      </c>
      <c r="I442" s="129" t="s">
        <v>168</v>
      </c>
      <c r="J442" s="129"/>
      <c r="K442" s="129"/>
      <c r="L442" s="129"/>
      <c r="M442" s="141"/>
      <c r="N442" s="302">
        <f t="shared" si="919"/>
        <v>0</v>
      </c>
      <c r="O442" s="146">
        <v>1560</v>
      </c>
      <c r="P442" s="146">
        <v>1560</v>
      </c>
      <c r="Q442" s="146">
        <v>1560</v>
      </c>
      <c r="R442" s="146">
        <v>1560</v>
      </c>
      <c r="S442" s="132">
        <f t="shared" si="920"/>
        <v>0</v>
      </c>
      <c r="T442" s="132">
        <f t="shared" si="921"/>
        <v>0</v>
      </c>
      <c r="U442" s="132">
        <f t="shared" si="922"/>
        <v>0</v>
      </c>
      <c r="V442" s="132">
        <f t="shared" si="923"/>
        <v>0</v>
      </c>
      <c r="W442" s="132">
        <f t="shared" si="924"/>
        <v>0</v>
      </c>
      <c r="X442" s="132">
        <f t="shared" si="925"/>
        <v>0</v>
      </c>
      <c r="AC442" s="521"/>
    </row>
    <row r="443" spans="1:215" s="139" customFormat="1" outlineLevel="2" x14ac:dyDescent="0.2">
      <c r="A443" s="495" t="s">
        <v>557</v>
      </c>
      <c r="B443" s="127"/>
      <c r="C443" s="129" t="s">
        <v>202</v>
      </c>
      <c r="D443" s="129" t="s">
        <v>213</v>
      </c>
      <c r="E443" s="184" t="s">
        <v>214</v>
      </c>
      <c r="F443" s="130" t="s">
        <v>607</v>
      </c>
      <c r="G443" s="135" t="s">
        <v>103</v>
      </c>
      <c r="H443" s="136" t="s">
        <v>8</v>
      </c>
      <c r="I443" s="134" t="s">
        <v>68</v>
      </c>
      <c r="J443" s="134">
        <v>1</v>
      </c>
      <c r="K443" s="129"/>
      <c r="L443" s="129"/>
      <c r="M443" s="141"/>
      <c r="N443" s="302">
        <f t="shared" si="919"/>
        <v>1</v>
      </c>
      <c r="O443" s="151">
        <v>4600</v>
      </c>
      <c r="P443" s="151">
        <v>4600</v>
      </c>
      <c r="Q443" s="151">
        <v>4600</v>
      </c>
      <c r="R443" s="151">
        <v>4600</v>
      </c>
      <c r="S443" s="132">
        <f t="shared" si="920"/>
        <v>4600</v>
      </c>
      <c r="T443" s="132">
        <f t="shared" si="921"/>
        <v>4600</v>
      </c>
      <c r="U443" s="132">
        <f t="shared" si="922"/>
        <v>0</v>
      </c>
      <c r="V443" s="132">
        <f t="shared" si="923"/>
        <v>0</v>
      </c>
      <c r="W443" s="132">
        <f t="shared" si="924"/>
        <v>0</v>
      </c>
      <c r="X443" s="132">
        <f t="shared" si="925"/>
        <v>4600</v>
      </c>
      <c r="Y443" s="139" t="s">
        <v>666</v>
      </c>
      <c r="Z443" s="393"/>
      <c r="AA443" s="104"/>
      <c r="AB443" s="104"/>
      <c r="AC443" s="521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  <c r="BK443" s="104"/>
      <c r="BL443" s="104"/>
      <c r="BM443" s="104"/>
      <c r="BN443" s="104"/>
      <c r="BO443" s="104"/>
      <c r="BP443" s="104"/>
      <c r="BQ443" s="104"/>
      <c r="BR443" s="104"/>
      <c r="BS443" s="104"/>
      <c r="BT443" s="104"/>
      <c r="BU443" s="104"/>
      <c r="BV443" s="104"/>
      <c r="BW443" s="104"/>
      <c r="BX443" s="104"/>
      <c r="BY443" s="104"/>
      <c r="BZ443" s="104"/>
      <c r="CA443" s="104"/>
      <c r="CB443" s="104"/>
      <c r="CC443" s="104"/>
      <c r="CD443" s="104"/>
      <c r="CE443" s="104"/>
      <c r="CF443" s="104"/>
      <c r="CG443" s="104"/>
      <c r="CH443" s="104"/>
      <c r="CI443" s="104"/>
      <c r="CJ443" s="104"/>
      <c r="CK443" s="104"/>
      <c r="CL443" s="104"/>
      <c r="CM443" s="104"/>
      <c r="CN443" s="104"/>
      <c r="CO443" s="104"/>
      <c r="CP443" s="104"/>
      <c r="CQ443" s="104"/>
      <c r="CR443" s="104"/>
      <c r="CS443" s="104"/>
      <c r="CT443" s="104"/>
      <c r="CU443" s="104"/>
      <c r="CV443" s="104"/>
      <c r="CW443" s="104"/>
      <c r="CX443" s="104"/>
      <c r="CY443" s="104"/>
      <c r="CZ443" s="104"/>
      <c r="DA443" s="104"/>
      <c r="DB443" s="104"/>
      <c r="DC443" s="104"/>
      <c r="DD443" s="104"/>
      <c r="DE443" s="104"/>
      <c r="DF443" s="104"/>
      <c r="DG443" s="104"/>
      <c r="DH443" s="104"/>
      <c r="DI443" s="104"/>
      <c r="DJ443" s="104"/>
      <c r="DK443" s="104"/>
      <c r="DL443" s="104"/>
      <c r="DM443" s="104"/>
      <c r="DN443" s="104"/>
      <c r="DO443" s="104"/>
      <c r="DP443" s="104"/>
      <c r="DQ443" s="104"/>
      <c r="DR443" s="104"/>
      <c r="DS443" s="104"/>
      <c r="DT443" s="104"/>
      <c r="DU443" s="104"/>
      <c r="DV443" s="104"/>
      <c r="DW443" s="104"/>
      <c r="DX443" s="104"/>
      <c r="DY443" s="104"/>
      <c r="DZ443" s="104"/>
      <c r="EA443" s="104"/>
      <c r="EB443" s="104"/>
      <c r="EC443" s="104"/>
      <c r="ED443" s="104"/>
      <c r="EE443" s="104"/>
      <c r="EF443" s="104"/>
      <c r="EG443" s="104"/>
      <c r="EH443" s="104"/>
      <c r="EI443" s="104"/>
      <c r="EJ443" s="104"/>
      <c r="EK443" s="104"/>
      <c r="EL443" s="104"/>
      <c r="EM443" s="104"/>
      <c r="EN443" s="104"/>
      <c r="EO443" s="104"/>
      <c r="EP443" s="104"/>
      <c r="EQ443" s="104"/>
      <c r="ER443" s="104"/>
      <c r="ES443" s="104"/>
      <c r="ET443" s="104"/>
      <c r="EU443" s="104"/>
      <c r="EV443" s="104"/>
      <c r="EW443" s="104"/>
      <c r="EX443" s="104"/>
      <c r="EY443" s="104"/>
      <c r="EZ443" s="104"/>
      <c r="FA443" s="104"/>
      <c r="FB443" s="104"/>
      <c r="FC443" s="104"/>
      <c r="FD443" s="104"/>
      <c r="FE443" s="104"/>
      <c r="FF443" s="104"/>
      <c r="FG443" s="104"/>
      <c r="FH443" s="104"/>
      <c r="FI443" s="104"/>
      <c r="FJ443" s="104"/>
      <c r="FK443" s="104"/>
      <c r="FL443" s="104"/>
      <c r="FM443" s="104"/>
      <c r="FN443" s="104"/>
      <c r="FO443" s="104"/>
      <c r="FP443" s="104"/>
      <c r="FQ443" s="104"/>
      <c r="FR443" s="104"/>
      <c r="FS443" s="104"/>
      <c r="FT443" s="104"/>
      <c r="FU443" s="104"/>
      <c r="FV443" s="104"/>
      <c r="FW443" s="104"/>
      <c r="FX443" s="104"/>
      <c r="FY443" s="104"/>
      <c r="FZ443" s="104"/>
      <c r="GA443" s="104"/>
      <c r="GB443" s="104"/>
      <c r="GC443" s="104"/>
      <c r="GD443" s="104"/>
      <c r="GE443" s="104"/>
      <c r="GF443" s="104"/>
      <c r="GG443" s="104"/>
      <c r="GH443" s="104"/>
      <c r="GI443" s="104"/>
      <c r="GJ443" s="104"/>
      <c r="GK443" s="104"/>
      <c r="GL443" s="104"/>
      <c r="GM443" s="104"/>
      <c r="GN443" s="104"/>
      <c r="GO443" s="104"/>
      <c r="GP443" s="104"/>
      <c r="GQ443" s="104"/>
      <c r="GR443" s="104"/>
      <c r="GS443" s="104"/>
      <c r="GT443" s="104"/>
      <c r="GU443" s="104"/>
      <c r="GV443" s="104"/>
      <c r="GW443" s="104"/>
      <c r="GX443" s="104"/>
      <c r="GY443" s="104"/>
      <c r="GZ443" s="104"/>
      <c r="HA443" s="104"/>
      <c r="HB443" s="104"/>
      <c r="HC443" s="104"/>
      <c r="HD443" s="104"/>
      <c r="HE443" s="104"/>
      <c r="HF443" s="104"/>
      <c r="HG443" s="104"/>
    </row>
    <row r="444" spans="1:215" ht="12.75" customHeight="1" outlineLevel="2" x14ac:dyDescent="0.2">
      <c r="A444" s="495" t="s">
        <v>557</v>
      </c>
      <c r="B444" s="150"/>
      <c r="C444" s="129"/>
      <c r="D444" s="129" t="s">
        <v>358</v>
      </c>
      <c r="E444" s="184" t="s">
        <v>359</v>
      </c>
      <c r="F444" s="130" t="s">
        <v>607</v>
      </c>
      <c r="G444" s="143" t="s">
        <v>103</v>
      </c>
      <c r="H444" s="133" t="s">
        <v>8</v>
      </c>
      <c r="I444" s="134" t="s">
        <v>68</v>
      </c>
      <c r="J444" s="134">
        <v>2</v>
      </c>
      <c r="K444" s="129"/>
      <c r="L444" s="129"/>
      <c r="M444" s="141"/>
      <c r="N444" s="302">
        <f t="shared" si="919"/>
        <v>2</v>
      </c>
      <c r="O444" s="146">
        <v>4300</v>
      </c>
      <c r="P444" s="146">
        <v>4300</v>
      </c>
      <c r="Q444" s="146">
        <v>4300</v>
      </c>
      <c r="R444" s="146">
        <v>4300</v>
      </c>
      <c r="S444" s="132">
        <f t="shared" si="920"/>
        <v>8600</v>
      </c>
      <c r="T444" s="132">
        <f t="shared" si="921"/>
        <v>8600</v>
      </c>
      <c r="U444" s="132">
        <f t="shared" si="922"/>
        <v>0</v>
      </c>
      <c r="V444" s="132">
        <f t="shared" si="923"/>
        <v>0</v>
      </c>
      <c r="W444" s="132">
        <f t="shared" si="924"/>
        <v>0</v>
      </c>
      <c r="X444" s="132">
        <f t="shared" si="925"/>
        <v>8600</v>
      </c>
      <c r="Y444" s="139" t="s">
        <v>666</v>
      </c>
      <c r="AC444" s="521"/>
    </row>
    <row r="445" spans="1:215" ht="12.75" customHeight="1" outlineLevel="2" x14ac:dyDescent="0.2">
      <c r="A445" s="495" t="s">
        <v>557</v>
      </c>
      <c r="B445" s="150"/>
      <c r="C445" s="134"/>
      <c r="D445" s="134" t="s">
        <v>363</v>
      </c>
      <c r="E445" s="359" t="s">
        <v>364</v>
      </c>
      <c r="F445" s="130" t="s">
        <v>607</v>
      </c>
      <c r="G445" s="136" t="s">
        <v>103</v>
      </c>
      <c r="H445" s="136" t="s">
        <v>8</v>
      </c>
      <c r="I445" s="134" t="s">
        <v>68</v>
      </c>
      <c r="J445" s="134">
        <v>7</v>
      </c>
      <c r="K445" s="129"/>
      <c r="L445" s="129"/>
      <c r="M445" s="141"/>
      <c r="N445" s="302">
        <f t="shared" si="919"/>
        <v>7</v>
      </c>
      <c r="O445" s="165">
        <v>4600</v>
      </c>
      <c r="P445" s="165">
        <v>4600</v>
      </c>
      <c r="Q445" s="165">
        <v>4600</v>
      </c>
      <c r="R445" s="165">
        <v>4600</v>
      </c>
      <c r="S445" s="132">
        <f t="shared" si="920"/>
        <v>32200</v>
      </c>
      <c r="T445" s="132">
        <f t="shared" si="921"/>
        <v>32200</v>
      </c>
      <c r="U445" s="132">
        <f t="shared" si="922"/>
        <v>0</v>
      </c>
      <c r="V445" s="132">
        <f t="shared" si="923"/>
        <v>0</v>
      </c>
      <c r="W445" s="132">
        <f t="shared" si="924"/>
        <v>0</v>
      </c>
      <c r="X445" s="132">
        <f t="shared" si="925"/>
        <v>32200</v>
      </c>
      <c r="Y445" s="139" t="s">
        <v>666</v>
      </c>
      <c r="AC445" s="521"/>
    </row>
    <row r="446" spans="1:215" outlineLevel="2" x14ac:dyDescent="0.2">
      <c r="A446" s="495" t="s">
        <v>557</v>
      </c>
      <c r="B446" s="127"/>
      <c r="C446" s="129" t="s">
        <v>202</v>
      </c>
      <c r="D446" s="129" t="s">
        <v>207</v>
      </c>
      <c r="E446" s="184" t="s">
        <v>208</v>
      </c>
      <c r="F446" s="130" t="s">
        <v>607</v>
      </c>
      <c r="G446" s="135" t="s">
        <v>103</v>
      </c>
      <c r="H446" s="136" t="s">
        <v>8</v>
      </c>
      <c r="I446" s="134" t="s">
        <v>168</v>
      </c>
      <c r="J446" s="134">
        <v>9</v>
      </c>
      <c r="K446" s="129"/>
      <c r="L446" s="129"/>
      <c r="M446" s="141"/>
      <c r="N446" s="302">
        <f t="shared" si="919"/>
        <v>9</v>
      </c>
      <c r="O446" s="146">
        <v>4600</v>
      </c>
      <c r="P446" s="146">
        <v>4600</v>
      </c>
      <c r="Q446" s="146">
        <v>4600</v>
      </c>
      <c r="R446" s="146">
        <v>4600</v>
      </c>
      <c r="S446" s="132">
        <f t="shared" si="920"/>
        <v>41400</v>
      </c>
      <c r="T446" s="132">
        <f t="shared" si="921"/>
        <v>41400</v>
      </c>
      <c r="U446" s="132">
        <f t="shared" si="922"/>
        <v>0</v>
      </c>
      <c r="V446" s="132">
        <f t="shared" si="923"/>
        <v>0</v>
      </c>
      <c r="W446" s="132">
        <f t="shared" si="924"/>
        <v>0</v>
      </c>
      <c r="X446" s="132">
        <f t="shared" si="925"/>
        <v>41400</v>
      </c>
      <c r="Y446" s="139" t="s">
        <v>666</v>
      </c>
      <c r="AC446" s="521"/>
    </row>
    <row r="447" spans="1:215" outlineLevel="2" x14ac:dyDescent="0.2">
      <c r="A447" s="495" t="s">
        <v>557</v>
      </c>
      <c r="B447" s="127"/>
      <c r="C447" s="129" t="s">
        <v>202</v>
      </c>
      <c r="D447" s="129" t="s">
        <v>205</v>
      </c>
      <c r="E447" s="184" t="s">
        <v>206</v>
      </c>
      <c r="F447" s="130" t="s">
        <v>607</v>
      </c>
      <c r="G447" s="135" t="s">
        <v>103</v>
      </c>
      <c r="H447" s="136" t="s">
        <v>8</v>
      </c>
      <c r="I447" s="134" t="s">
        <v>168</v>
      </c>
      <c r="J447" s="134"/>
      <c r="K447" s="129"/>
      <c r="L447" s="129"/>
      <c r="M447" s="141"/>
      <c r="N447" s="302">
        <f t="shared" si="919"/>
        <v>0</v>
      </c>
      <c r="O447" s="146">
        <v>4200</v>
      </c>
      <c r="P447" s="146">
        <v>4200</v>
      </c>
      <c r="Q447" s="146">
        <v>4200</v>
      </c>
      <c r="R447" s="146">
        <v>4200</v>
      </c>
      <c r="S447" s="132">
        <f t="shared" si="920"/>
        <v>0</v>
      </c>
      <c r="T447" s="132">
        <f t="shared" si="921"/>
        <v>0</v>
      </c>
      <c r="U447" s="132">
        <f t="shared" si="922"/>
        <v>0</v>
      </c>
      <c r="V447" s="132">
        <f t="shared" si="923"/>
        <v>0</v>
      </c>
      <c r="W447" s="132">
        <f t="shared" si="924"/>
        <v>0</v>
      </c>
      <c r="X447" s="132">
        <f t="shared" si="925"/>
        <v>0</v>
      </c>
      <c r="Y447" s="139" t="s">
        <v>666</v>
      </c>
      <c r="Z447" s="394"/>
      <c r="AA447" s="139"/>
      <c r="AB447" s="139"/>
      <c r="AC447" s="521"/>
      <c r="AD447" s="139"/>
      <c r="AE447" s="139"/>
      <c r="AF447" s="139"/>
      <c r="AG447" s="139"/>
      <c r="AH447" s="139"/>
      <c r="AI447" s="139"/>
      <c r="AJ447" s="139"/>
      <c r="AK447" s="139"/>
      <c r="AL447" s="139"/>
      <c r="AM447" s="139"/>
      <c r="AN447" s="139"/>
      <c r="AO447" s="139"/>
      <c r="AP447" s="139"/>
      <c r="AQ447" s="139"/>
      <c r="AR447" s="139"/>
      <c r="AS447" s="139"/>
      <c r="AT447" s="139"/>
      <c r="AU447" s="139"/>
      <c r="AV447" s="139"/>
      <c r="AW447" s="139"/>
      <c r="AX447" s="139"/>
      <c r="AY447" s="139"/>
      <c r="AZ447" s="139"/>
      <c r="BA447" s="139"/>
      <c r="BB447" s="139"/>
      <c r="BC447" s="139"/>
      <c r="BD447" s="139"/>
      <c r="BE447" s="139"/>
      <c r="BF447" s="139"/>
      <c r="BG447" s="139"/>
      <c r="BH447" s="139"/>
      <c r="BI447" s="139"/>
      <c r="BJ447" s="139"/>
      <c r="BK447" s="139"/>
      <c r="BL447" s="139"/>
      <c r="BM447" s="139"/>
      <c r="BN447" s="139"/>
      <c r="BO447" s="139"/>
      <c r="BP447" s="139"/>
      <c r="BQ447" s="139"/>
      <c r="BR447" s="139"/>
      <c r="BS447" s="139"/>
      <c r="BT447" s="139"/>
      <c r="BU447" s="139"/>
      <c r="BV447" s="139"/>
      <c r="BW447" s="139"/>
      <c r="BX447" s="139"/>
      <c r="BY447" s="139"/>
      <c r="BZ447" s="139"/>
      <c r="CA447" s="139"/>
      <c r="CB447" s="139"/>
      <c r="CC447" s="139"/>
      <c r="CD447" s="139"/>
      <c r="CE447" s="139"/>
      <c r="CF447" s="139"/>
      <c r="CG447" s="139"/>
      <c r="CH447" s="139"/>
      <c r="CI447" s="139"/>
      <c r="CJ447" s="139"/>
      <c r="CK447" s="139"/>
      <c r="CL447" s="139"/>
      <c r="CM447" s="139"/>
      <c r="CN447" s="139"/>
      <c r="CO447" s="139"/>
      <c r="CP447" s="139"/>
      <c r="CQ447" s="139"/>
      <c r="CR447" s="139"/>
      <c r="CS447" s="139"/>
      <c r="CT447" s="139"/>
      <c r="CU447" s="139"/>
      <c r="CV447" s="139"/>
      <c r="CW447" s="139"/>
      <c r="CX447" s="139"/>
      <c r="CY447" s="139"/>
      <c r="CZ447" s="139"/>
      <c r="DA447" s="139"/>
      <c r="DB447" s="139"/>
      <c r="DC447" s="139"/>
      <c r="DD447" s="139"/>
      <c r="DE447" s="139"/>
      <c r="DF447" s="139"/>
      <c r="DG447" s="139"/>
      <c r="DH447" s="139"/>
      <c r="DI447" s="139"/>
      <c r="DJ447" s="139"/>
      <c r="DK447" s="139"/>
      <c r="DL447" s="139"/>
      <c r="DM447" s="139"/>
      <c r="DN447" s="139"/>
      <c r="DO447" s="139"/>
      <c r="DP447" s="139"/>
      <c r="DQ447" s="139"/>
      <c r="DR447" s="139"/>
      <c r="DS447" s="139"/>
      <c r="DT447" s="139"/>
      <c r="DU447" s="139"/>
      <c r="DV447" s="139"/>
      <c r="DW447" s="139"/>
      <c r="DX447" s="139"/>
      <c r="DY447" s="139"/>
      <c r="DZ447" s="139"/>
      <c r="EA447" s="139"/>
      <c r="EB447" s="139"/>
      <c r="EC447" s="139"/>
      <c r="ED447" s="139"/>
      <c r="EE447" s="139"/>
      <c r="EF447" s="139"/>
      <c r="EG447" s="139"/>
      <c r="EH447" s="139"/>
      <c r="EI447" s="139"/>
      <c r="EJ447" s="139"/>
      <c r="EK447" s="139"/>
      <c r="EL447" s="139"/>
      <c r="EM447" s="139"/>
      <c r="EN447" s="139"/>
      <c r="EO447" s="139"/>
      <c r="EP447" s="139"/>
      <c r="EQ447" s="139"/>
      <c r="ER447" s="139"/>
      <c r="ES447" s="139"/>
      <c r="ET447" s="139"/>
      <c r="EU447" s="139"/>
      <c r="EV447" s="139"/>
      <c r="EW447" s="139"/>
      <c r="EX447" s="139"/>
      <c r="EY447" s="139"/>
      <c r="EZ447" s="139"/>
      <c r="FA447" s="139"/>
      <c r="FB447" s="139"/>
      <c r="FC447" s="139"/>
      <c r="FD447" s="139"/>
      <c r="FE447" s="139"/>
      <c r="FF447" s="139"/>
      <c r="FG447" s="139"/>
      <c r="FH447" s="139"/>
      <c r="FI447" s="139"/>
      <c r="FJ447" s="139"/>
      <c r="FK447" s="139"/>
      <c r="FL447" s="139"/>
      <c r="FM447" s="139"/>
      <c r="FN447" s="139"/>
      <c r="FO447" s="139"/>
      <c r="FP447" s="139"/>
      <c r="FQ447" s="139"/>
      <c r="FR447" s="139"/>
      <c r="FS447" s="139"/>
      <c r="FT447" s="139"/>
      <c r="FU447" s="139"/>
      <c r="FV447" s="139"/>
      <c r="FW447" s="139"/>
      <c r="FX447" s="139"/>
      <c r="FY447" s="139"/>
      <c r="FZ447" s="139"/>
      <c r="GA447" s="139"/>
      <c r="GB447" s="139"/>
      <c r="GC447" s="139"/>
      <c r="GD447" s="139"/>
      <c r="GE447" s="139"/>
      <c r="GF447" s="139"/>
      <c r="GG447" s="139"/>
      <c r="GH447" s="139"/>
      <c r="GI447" s="139"/>
      <c r="GJ447" s="139"/>
      <c r="GK447" s="139"/>
      <c r="GL447" s="139"/>
      <c r="GM447" s="139"/>
      <c r="GN447" s="139"/>
      <c r="GO447" s="139"/>
      <c r="GP447" s="139"/>
      <c r="GQ447" s="139"/>
      <c r="GR447" s="139"/>
      <c r="GS447" s="139"/>
      <c r="GT447" s="139"/>
      <c r="GU447" s="139"/>
      <c r="GV447" s="139"/>
      <c r="GW447" s="139"/>
      <c r="GX447" s="139"/>
      <c r="GY447" s="139"/>
      <c r="GZ447" s="139"/>
      <c r="HA447" s="139"/>
      <c r="HB447" s="139"/>
      <c r="HC447" s="139"/>
      <c r="HD447" s="139"/>
      <c r="HE447" s="139"/>
      <c r="HF447" s="139"/>
      <c r="HG447" s="139"/>
    </row>
    <row r="448" spans="1:215" outlineLevel="2" x14ac:dyDescent="0.2">
      <c r="A448" s="495" t="s">
        <v>557</v>
      </c>
      <c r="B448" s="127"/>
      <c r="C448" s="129" t="s">
        <v>202</v>
      </c>
      <c r="D448" s="129" t="s">
        <v>203</v>
      </c>
      <c r="E448" s="184" t="s">
        <v>204</v>
      </c>
      <c r="F448" s="130" t="s">
        <v>607</v>
      </c>
      <c r="G448" s="143" t="s">
        <v>103</v>
      </c>
      <c r="H448" s="133" t="s">
        <v>8</v>
      </c>
      <c r="I448" s="134" t="s">
        <v>168</v>
      </c>
      <c r="J448" s="134"/>
      <c r="K448" s="129"/>
      <c r="L448" s="129"/>
      <c r="M448" s="141"/>
      <c r="N448" s="302">
        <f t="shared" si="919"/>
        <v>0</v>
      </c>
      <c r="O448" s="144">
        <v>4200</v>
      </c>
      <c r="P448" s="144">
        <v>4200</v>
      </c>
      <c r="Q448" s="144">
        <v>4200</v>
      </c>
      <c r="R448" s="144">
        <v>4200</v>
      </c>
      <c r="S448" s="132">
        <f t="shared" si="920"/>
        <v>0</v>
      </c>
      <c r="T448" s="132">
        <f t="shared" si="921"/>
        <v>0</v>
      </c>
      <c r="U448" s="132">
        <f t="shared" si="922"/>
        <v>0</v>
      </c>
      <c r="V448" s="132">
        <f t="shared" si="923"/>
        <v>0</v>
      </c>
      <c r="W448" s="132">
        <f t="shared" si="924"/>
        <v>0</v>
      </c>
      <c r="X448" s="132">
        <f t="shared" si="925"/>
        <v>0</v>
      </c>
      <c r="Y448" s="139" t="s">
        <v>666</v>
      </c>
      <c r="AC448" s="521"/>
    </row>
    <row r="449" spans="1:215" outlineLevel="2" x14ac:dyDescent="0.2">
      <c r="A449" s="495" t="s">
        <v>557</v>
      </c>
      <c r="B449" s="148"/>
      <c r="C449" s="129" t="s">
        <v>202</v>
      </c>
      <c r="D449" s="129" t="s">
        <v>215</v>
      </c>
      <c r="E449" s="184" t="s">
        <v>216</v>
      </c>
      <c r="F449" s="130" t="s">
        <v>607</v>
      </c>
      <c r="G449" s="135" t="s">
        <v>103</v>
      </c>
      <c r="H449" s="158" t="s">
        <v>8</v>
      </c>
      <c r="I449" s="140" t="s">
        <v>128</v>
      </c>
      <c r="J449" s="140"/>
      <c r="K449" s="128"/>
      <c r="L449" s="128"/>
      <c r="M449" s="336"/>
      <c r="N449" s="302">
        <f t="shared" si="919"/>
        <v>0</v>
      </c>
      <c r="O449" s="151">
        <v>700</v>
      </c>
      <c r="P449" s="151">
        <v>700</v>
      </c>
      <c r="Q449" s="151">
        <v>700</v>
      </c>
      <c r="R449" s="151">
        <v>700</v>
      </c>
      <c r="S449" s="132">
        <f t="shared" si="920"/>
        <v>0</v>
      </c>
      <c r="T449" s="132">
        <f t="shared" si="921"/>
        <v>0</v>
      </c>
      <c r="U449" s="132">
        <f t="shared" si="922"/>
        <v>0</v>
      </c>
      <c r="V449" s="132">
        <f t="shared" si="923"/>
        <v>0</v>
      </c>
      <c r="W449" s="132">
        <f t="shared" si="924"/>
        <v>0</v>
      </c>
      <c r="X449" s="132">
        <f t="shared" si="925"/>
        <v>0</v>
      </c>
      <c r="Y449" s="139" t="s">
        <v>666</v>
      </c>
      <c r="AC449" s="521"/>
    </row>
    <row r="450" spans="1:215" outlineLevel="2" x14ac:dyDescent="0.2">
      <c r="A450" s="495" t="s">
        <v>557</v>
      </c>
      <c r="B450" s="127"/>
      <c r="C450" s="129" t="s">
        <v>202</v>
      </c>
      <c r="D450" s="129" t="s">
        <v>217</v>
      </c>
      <c r="E450" s="184" t="s">
        <v>218</v>
      </c>
      <c r="F450" s="130" t="s">
        <v>607</v>
      </c>
      <c r="G450" s="135" t="s">
        <v>103</v>
      </c>
      <c r="H450" s="136" t="s">
        <v>8</v>
      </c>
      <c r="I450" s="134" t="s">
        <v>128</v>
      </c>
      <c r="J450" s="134"/>
      <c r="K450" s="129"/>
      <c r="L450" s="129"/>
      <c r="M450" s="141"/>
      <c r="N450" s="302">
        <f t="shared" si="919"/>
        <v>0</v>
      </c>
      <c r="O450" s="151">
        <v>700</v>
      </c>
      <c r="P450" s="151">
        <v>700</v>
      </c>
      <c r="Q450" s="151">
        <v>700</v>
      </c>
      <c r="R450" s="151">
        <v>700</v>
      </c>
      <c r="S450" s="132">
        <f t="shared" si="920"/>
        <v>0</v>
      </c>
      <c r="T450" s="132">
        <f t="shared" si="921"/>
        <v>0</v>
      </c>
      <c r="U450" s="132">
        <f t="shared" si="922"/>
        <v>0</v>
      </c>
      <c r="V450" s="132">
        <f t="shared" si="923"/>
        <v>0</v>
      </c>
      <c r="W450" s="132">
        <f t="shared" si="924"/>
        <v>0</v>
      </c>
      <c r="X450" s="132">
        <f t="shared" si="925"/>
        <v>0</v>
      </c>
      <c r="Y450" s="139" t="s">
        <v>666</v>
      </c>
      <c r="AC450" s="521"/>
    </row>
    <row r="451" spans="1:215" s="157" customFormat="1" ht="12.75" customHeight="1" outlineLevel="2" x14ac:dyDescent="0.2">
      <c r="A451" s="495" t="s">
        <v>557</v>
      </c>
      <c r="B451" s="150"/>
      <c r="C451" s="129"/>
      <c r="D451" s="129" t="s">
        <v>385</v>
      </c>
      <c r="E451" s="360" t="s">
        <v>386</v>
      </c>
      <c r="F451" s="130" t="s">
        <v>607</v>
      </c>
      <c r="G451" s="135" t="s">
        <v>103</v>
      </c>
      <c r="H451" s="135" t="s">
        <v>8</v>
      </c>
      <c r="I451" s="129" t="s">
        <v>168</v>
      </c>
      <c r="J451" s="129">
        <v>1</v>
      </c>
      <c r="K451" s="129"/>
      <c r="L451" s="129"/>
      <c r="M451" s="141"/>
      <c r="N451" s="302">
        <f t="shared" si="919"/>
        <v>1</v>
      </c>
      <c r="O451" s="146">
        <v>2800</v>
      </c>
      <c r="P451" s="146">
        <v>2800</v>
      </c>
      <c r="Q451" s="146">
        <v>2800</v>
      </c>
      <c r="R451" s="146">
        <v>2800</v>
      </c>
      <c r="S451" s="132">
        <f t="shared" si="920"/>
        <v>2800</v>
      </c>
      <c r="T451" s="132">
        <f t="shared" si="921"/>
        <v>2800</v>
      </c>
      <c r="U451" s="132">
        <f t="shared" si="922"/>
        <v>0</v>
      </c>
      <c r="V451" s="132">
        <f t="shared" si="923"/>
        <v>0</v>
      </c>
      <c r="W451" s="132">
        <f t="shared" si="924"/>
        <v>0</v>
      </c>
      <c r="X451" s="132">
        <f t="shared" si="925"/>
        <v>2800</v>
      </c>
      <c r="Y451" s="157" t="s">
        <v>544</v>
      </c>
      <c r="Z451" s="108"/>
      <c r="AC451" s="521"/>
    </row>
    <row r="452" spans="1:215" s="157" customFormat="1" ht="12.75" customHeight="1" outlineLevel="2" x14ac:dyDescent="0.2">
      <c r="A452" s="495" t="s">
        <v>557</v>
      </c>
      <c r="B452" s="150"/>
      <c r="C452" s="129"/>
      <c r="D452" s="129" t="s">
        <v>381</v>
      </c>
      <c r="E452" s="184" t="s">
        <v>382</v>
      </c>
      <c r="F452" s="130" t="s">
        <v>607</v>
      </c>
      <c r="G452" s="135" t="s">
        <v>103</v>
      </c>
      <c r="H452" s="135" t="s">
        <v>9</v>
      </c>
      <c r="I452" s="129" t="s">
        <v>504</v>
      </c>
      <c r="J452" s="129"/>
      <c r="K452" s="129"/>
      <c r="L452" s="129"/>
      <c r="M452" s="141"/>
      <c r="N452" s="302">
        <f t="shared" si="919"/>
        <v>0</v>
      </c>
      <c r="O452" s="146">
        <v>3000</v>
      </c>
      <c r="P452" s="146">
        <v>3000</v>
      </c>
      <c r="Q452" s="146">
        <v>3000</v>
      </c>
      <c r="R452" s="146">
        <v>3000</v>
      </c>
      <c r="S452" s="132">
        <f t="shared" si="920"/>
        <v>0</v>
      </c>
      <c r="T452" s="132">
        <f t="shared" si="921"/>
        <v>0</v>
      </c>
      <c r="U452" s="132">
        <f t="shared" si="922"/>
        <v>0</v>
      </c>
      <c r="V452" s="132">
        <f t="shared" si="923"/>
        <v>0</v>
      </c>
      <c r="W452" s="132">
        <f t="shared" si="924"/>
        <v>0</v>
      </c>
      <c r="X452" s="132">
        <f t="shared" si="925"/>
        <v>0</v>
      </c>
      <c r="Y452" s="157" t="s">
        <v>544</v>
      </c>
      <c r="Z452" s="394"/>
      <c r="AC452" s="521"/>
    </row>
    <row r="453" spans="1:215" s="157" customFormat="1" ht="12.75" customHeight="1" outlineLevel="2" x14ac:dyDescent="0.2">
      <c r="A453" s="495" t="s">
        <v>557</v>
      </c>
      <c r="B453" s="150"/>
      <c r="C453" s="129"/>
      <c r="D453" s="129" t="s">
        <v>387</v>
      </c>
      <c r="E453" s="184" t="s">
        <v>388</v>
      </c>
      <c r="F453" s="130" t="s">
        <v>607</v>
      </c>
      <c r="G453" s="135" t="s">
        <v>103</v>
      </c>
      <c r="H453" s="135" t="s">
        <v>8</v>
      </c>
      <c r="I453" s="129" t="s">
        <v>168</v>
      </c>
      <c r="J453" s="129"/>
      <c r="K453" s="129"/>
      <c r="L453" s="129"/>
      <c r="M453" s="141"/>
      <c r="N453" s="302">
        <f t="shared" ref="N453:N469" si="926">SUM(J453:M453)</f>
        <v>0</v>
      </c>
      <c r="O453" s="146">
        <v>3000</v>
      </c>
      <c r="P453" s="146">
        <v>3000</v>
      </c>
      <c r="Q453" s="146">
        <v>3000</v>
      </c>
      <c r="R453" s="146">
        <v>3000</v>
      </c>
      <c r="S453" s="132">
        <f t="shared" si="920"/>
        <v>0</v>
      </c>
      <c r="T453" s="132">
        <f t="shared" si="921"/>
        <v>0</v>
      </c>
      <c r="U453" s="132">
        <f t="shared" si="922"/>
        <v>0</v>
      </c>
      <c r="V453" s="132">
        <f t="shared" si="923"/>
        <v>0</v>
      </c>
      <c r="W453" s="132">
        <f t="shared" si="924"/>
        <v>0</v>
      </c>
      <c r="X453" s="132">
        <f t="shared" si="925"/>
        <v>0</v>
      </c>
      <c r="Y453" s="157" t="s">
        <v>544</v>
      </c>
      <c r="Z453" s="108"/>
      <c r="AC453" s="521"/>
    </row>
    <row r="454" spans="1:215" outlineLevel="2" x14ac:dyDescent="0.2">
      <c r="A454" s="495" t="s">
        <v>557</v>
      </c>
      <c r="B454" s="127"/>
      <c r="C454" s="129" t="s">
        <v>245</v>
      </c>
      <c r="D454" s="129" t="s">
        <v>246</v>
      </c>
      <c r="E454" s="184" t="s">
        <v>247</v>
      </c>
      <c r="F454" s="130" t="s">
        <v>607</v>
      </c>
      <c r="G454" s="135" t="s">
        <v>103</v>
      </c>
      <c r="H454" s="136" t="s">
        <v>8</v>
      </c>
      <c r="I454" s="134" t="s">
        <v>168</v>
      </c>
      <c r="J454" s="134"/>
      <c r="K454" s="129"/>
      <c r="L454" s="129"/>
      <c r="M454" s="141"/>
      <c r="N454" s="302">
        <f t="shared" si="926"/>
        <v>0</v>
      </c>
      <c r="O454" s="146">
        <v>4200</v>
      </c>
      <c r="P454" s="146">
        <v>4200</v>
      </c>
      <c r="Q454" s="146">
        <v>4200</v>
      </c>
      <c r="R454" s="146">
        <v>4200</v>
      </c>
      <c r="S454" s="132">
        <f t="shared" si="920"/>
        <v>0</v>
      </c>
      <c r="T454" s="132">
        <f t="shared" si="921"/>
        <v>0</v>
      </c>
      <c r="U454" s="132">
        <f t="shared" si="922"/>
        <v>0</v>
      </c>
      <c r="V454" s="132">
        <f t="shared" si="923"/>
        <v>0</v>
      </c>
      <c r="W454" s="132">
        <f t="shared" si="924"/>
        <v>0</v>
      </c>
      <c r="X454" s="132">
        <f t="shared" si="925"/>
        <v>0</v>
      </c>
      <c r="Y454" s="139" t="s">
        <v>623</v>
      </c>
      <c r="Z454" s="393">
        <v>1</v>
      </c>
      <c r="AC454" s="521"/>
    </row>
    <row r="455" spans="1:215" ht="12.75" customHeight="1" outlineLevel="2" x14ac:dyDescent="0.2">
      <c r="A455" s="495" t="s">
        <v>557</v>
      </c>
      <c r="B455" s="150"/>
      <c r="C455" s="156"/>
      <c r="D455" s="129" t="s">
        <v>542</v>
      </c>
      <c r="E455" s="184" t="s">
        <v>543</v>
      </c>
      <c r="F455" s="130" t="s">
        <v>607</v>
      </c>
      <c r="G455" s="135" t="s">
        <v>103</v>
      </c>
      <c r="H455" s="143" t="s">
        <v>9</v>
      </c>
      <c r="I455" s="129" t="s">
        <v>504</v>
      </c>
      <c r="J455" s="129">
        <v>2</v>
      </c>
      <c r="K455" s="129"/>
      <c r="L455" s="129"/>
      <c r="M455" s="141"/>
      <c r="N455" s="302">
        <f t="shared" si="926"/>
        <v>2</v>
      </c>
      <c r="O455" s="146">
        <v>2920</v>
      </c>
      <c r="P455" s="146">
        <v>2920</v>
      </c>
      <c r="Q455" s="146">
        <v>2920</v>
      </c>
      <c r="R455" s="146">
        <v>2920</v>
      </c>
      <c r="S455" s="132">
        <f t="shared" ref="S455:S458" si="927">SUMPRODUCT(J455:M455,O455:R455)</f>
        <v>5840</v>
      </c>
      <c r="T455" s="132">
        <f t="shared" ref="T455:T458" si="928">IF(O455&gt;prisgrense,J455*prisgrense,J455*O455)</f>
        <v>5840</v>
      </c>
      <c r="U455" s="132">
        <f t="shared" ref="U455:U458" si="929">IF(P455&gt;prisgrense,K455*prisgrense,K455*P455)</f>
        <v>0</v>
      </c>
      <c r="V455" s="132">
        <f t="shared" ref="V455:V458" si="930">IF(Q455&gt;prisgrense,L455*prisgrense,L455*Q455)</f>
        <v>0</v>
      </c>
      <c r="W455" s="132">
        <f t="shared" ref="W455:W458" si="931">IF(R455&gt;prisgrense,M455*prisgrense,M455*R455)</f>
        <v>0</v>
      </c>
      <c r="X455" s="132">
        <f t="shared" ref="X455:X458" si="932">SUM(T455:W455)</f>
        <v>5840</v>
      </c>
      <c r="AC455" s="521"/>
    </row>
    <row r="456" spans="1:215" outlineLevel="2" x14ac:dyDescent="0.2">
      <c r="A456" s="495" t="s">
        <v>557</v>
      </c>
      <c r="B456" s="127"/>
      <c r="C456" s="129" t="s">
        <v>202</v>
      </c>
      <c r="D456" s="129" t="s">
        <v>209</v>
      </c>
      <c r="E456" s="184" t="s">
        <v>210</v>
      </c>
      <c r="F456" s="130" t="s">
        <v>607</v>
      </c>
      <c r="G456" s="135" t="s">
        <v>103</v>
      </c>
      <c r="H456" s="135" t="s">
        <v>21</v>
      </c>
      <c r="I456" s="129" t="s">
        <v>504</v>
      </c>
      <c r="J456" s="129"/>
      <c r="K456" s="129"/>
      <c r="L456" s="129"/>
      <c r="M456" s="141"/>
      <c r="N456" s="302">
        <f t="shared" si="926"/>
        <v>0</v>
      </c>
      <c r="O456" s="151">
        <v>1000</v>
      </c>
      <c r="P456" s="151">
        <v>1000</v>
      </c>
      <c r="Q456" s="151">
        <v>1000</v>
      </c>
      <c r="R456" s="151">
        <v>1000</v>
      </c>
      <c r="S456" s="132">
        <f t="shared" si="927"/>
        <v>0</v>
      </c>
      <c r="T456" s="132">
        <f t="shared" si="928"/>
        <v>0</v>
      </c>
      <c r="U456" s="132">
        <f t="shared" si="929"/>
        <v>0</v>
      </c>
      <c r="V456" s="132">
        <f t="shared" si="930"/>
        <v>0</v>
      </c>
      <c r="W456" s="132">
        <f t="shared" si="931"/>
        <v>0</v>
      </c>
      <c r="X456" s="132">
        <f t="shared" si="932"/>
        <v>0</v>
      </c>
      <c r="Y456" s="139" t="s">
        <v>666</v>
      </c>
      <c r="Z456" s="395"/>
      <c r="AA456" s="152"/>
      <c r="AB456" s="152"/>
      <c r="AC456" s="521"/>
      <c r="AD456" s="152"/>
      <c r="AE456" s="152"/>
      <c r="AF456" s="152"/>
      <c r="AG456" s="152"/>
      <c r="AH456" s="152"/>
      <c r="AI456" s="152"/>
      <c r="AJ456" s="152"/>
      <c r="AK456" s="152"/>
      <c r="AL456" s="152"/>
      <c r="AM456" s="152"/>
      <c r="AN456" s="152"/>
      <c r="AO456" s="152"/>
      <c r="AP456" s="152"/>
      <c r="AQ456" s="152"/>
      <c r="AR456" s="152"/>
      <c r="AS456" s="152"/>
      <c r="AT456" s="152"/>
      <c r="AU456" s="152"/>
      <c r="AV456" s="152"/>
      <c r="AW456" s="152"/>
      <c r="AX456" s="152"/>
      <c r="AY456" s="152"/>
      <c r="AZ456" s="152"/>
      <c r="BA456" s="152"/>
      <c r="BB456" s="152"/>
      <c r="BC456" s="152"/>
      <c r="BD456" s="152"/>
      <c r="BE456" s="152"/>
      <c r="BF456" s="152"/>
      <c r="BG456" s="152"/>
      <c r="BH456" s="152"/>
      <c r="BI456" s="152"/>
      <c r="BJ456" s="152"/>
      <c r="BK456" s="152"/>
      <c r="BL456" s="152"/>
      <c r="BM456" s="152"/>
      <c r="BN456" s="152"/>
      <c r="BO456" s="152"/>
      <c r="BP456" s="152"/>
      <c r="BQ456" s="152"/>
      <c r="BR456" s="152"/>
      <c r="BS456" s="152"/>
      <c r="BT456" s="152"/>
      <c r="BU456" s="152"/>
      <c r="BV456" s="152"/>
      <c r="BW456" s="152"/>
      <c r="BX456" s="152"/>
      <c r="BY456" s="152"/>
      <c r="BZ456" s="152"/>
      <c r="CA456" s="152"/>
      <c r="CB456" s="152"/>
      <c r="CC456" s="152"/>
      <c r="CD456" s="152"/>
      <c r="CE456" s="152"/>
      <c r="CF456" s="152"/>
      <c r="CG456" s="152"/>
      <c r="CH456" s="152"/>
      <c r="CI456" s="152"/>
      <c r="CJ456" s="152"/>
      <c r="CK456" s="152"/>
      <c r="CL456" s="152"/>
      <c r="CM456" s="152"/>
      <c r="CN456" s="152"/>
      <c r="CO456" s="152"/>
      <c r="CP456" s="152"/>
      <c r="CQ456" s="152"/>
      <c r="CR456" s="152"/>
      <c r="CS456" s="152"/>
      <c r="CT456" s="152"/>
      <c r="CU456" s="152"/>
      <c r="CV456" s="152"/>
      <c r="CW456" s="152"/>
      <c r="CX456" s="152"/>
      <c r="CY456" s="152"/>
      <c r="CZ456" s="152"/>
      <c r="DA456" s="152"/>
      <c r="DB456" s="152"/>
      <c r="DC456" s="152"/>
      <c r="DD456" s="152"/>
      <c r="DE456" s="152"/>
      <c r="DF456" s="152"/>
      <c r="DG456" s="152"/>
      <c r="DH456" s="152"/>
      <c r="DI456" s="152"/>
      <c r="DJ456" s="152"/>
      <c r="DK456" s="152"/>
      <c r="DL456" s="152"/>
      <c r="DM456" s="152"/>
      <c r="DN456" s="152"/>
      <c r="DO456" s="152"/>
      <c r="DP456" s="152"/>
      <c r="DQ456" s="152"/>
      <c r="DR456" s="152"/>
      <c r="DS456" s="152"/>
      <c r="DT456" s="152"/>
      <c r="DU456" s="152"/>
      <c r="DV456" s="152"/>
      <c r="DW456" s="152"/>
      <c r="DX456" s="152"/>
      <c r="DY456" s="152"/>
      <c r="DZ456" s="152"/>
      <c r="EA456" s="152"/>
      <c r="EB456" s="152"/>
      <c r="EC456" s="152"/>
      <c r="ED456" s="152"/>
      <c r="EE456" s="152"/>
      <c r="EF456" s="152"/>
      <c r="EG456" s="152"/>
      <c r="EH456" s="152"/>
      <c r="EI456" s="152"/>
      <c r="EJ456" s="152"/>
      <c r="EK456" s="152"/>
      <c r="EL456" s="152"/>
      <c r="EM456" s="152"/>
      <c r="EN456" s="152"/>
      <c r="EO456" s="152"/>
      <c r="EP456" s="152"/>
      <c r="EQ456" s="152"/>
      <c r="ER456" s="152"/>
      <c r="ES456" s="152"/>
      <c r="ET456" s="152"/>
      <c r="EU456" s="152"/>
      <c r="EV456" s="152"/>
      <c r="EW456" s="152"/>
      <c r="EX456" s="152"/>
      <c r="EY456" s="152"/>
      <c r="EZ456" s="152"/>
      <c r="FA456" s="152"/>
      <c r="FB456" s="152"/>
      <c r="FC456" s="152"/>
      <c r="FD456" s="152"/>
      <c r="FE456" s="152"/>
      <c r="FF456" s="152"/>
      <c r="FG456" s="152"/>
      <c r="FH456" s="152"/>
      <c r="FI456" s="152"/>
      <c r="FJ456" s="152"/>
      <c r="FK456" s="152"/>
      <c r="FL456" s="152"/>
      <c r="FM456" s="152"/>
      <c r="FN456" s="152"/>
      <c r="FO456" s="152"/>
      <c r="FP456" s="152"/>
      <c r="FQ456" s="152"/>
      <c r="FR456" s="152"/>
      <c r="FS456" s="152"/>
      <c r="FT456" s="152"/>
      <c r="FU456" s="152"/>
      <c r="FV456" s="152"/>
      <c r="FW456" s="152"/>
      <c r="FX456" s="152"/>
      <c r="FY456" s="152"/>
      <c r="FZ456" s="152"/>
      <c r="GA456" s="152"/>
      <c r="GB456" s="152"/>
      <c r="GC456" s="152"/>
      <c r="GD456" s="152"/>
      <c r="GE456" s="152"/>
      <c r="GF456" s="152"/>
      <c r="GG456" s="152"/>
      <c r="GH456" s="152"/>
      <c r="GI456" s="152"/>
      <c r="GJ456" s="152"/>
      <c r="GK456" s="152"/>
      <c r="GL456" s="152"/>
      <c r="GM456" s="152"/>
      <c r="GN456" s="152"/>
      <c r="GO456" s="152"/>
      <c r="GP456" s="152"/>
      <c r="GQ456" s="152"/>
      <c r="GR456" s="152"/>
      <c r="GS456" s="152"/>
      <c r="GT456" s="152"/>
      <c r="GU456" s="152"/>
      <c r="GV456" s="152"/>
      <c r="GW456" s="152"/>
      <c r="GX456" s="152"/>
      <c r="GY456" s="152"/>
      <c r="GZ456" s="152"/>
      <c r="HA456" s="152"/>
      <c r="HB456" s="152"/>
      <c r="HC456" s="152"/>
      <c r="HD456" s="152"/>
      <c r="HE456" s="152"/>
      <c r="HF456" s="152"/>
      <c r="HG456" s="152"/>
    </row>
    <row r="457" spans="1:215" outlineLevel="2" x14ac:dyDescent="0.2">
      <c r="A457" s="495" t="s">
        <v>557</v>
      </c>
      <c r="B457" s="127"/>
      <c r="C457" s="129" t="s">
        <v>202</v>
      </c>
      <c r="D457" s="129" t="s">
        <v>211</v>
      </c>
      <c r="E457" s="184" t="s">
        <v>212</v>
      </c>
      <c r="F457" s="130" t="s">
        <v>607</v>
      </c>
      <c r="G457" s="135" t="s">
        <v>103</v>
      </c>
      <c r="H457" s="136" t="s">
        <v>9</v>
      </c>
      <c r="I457" s="134" t="s">
        <v>504</v>
      </c>
      <c r="J457" s="134"/>
      <c r="K457" s="129"/>
      <c r="L457" s="129"/>
      <c r="M457" s="141"/>
      <c r="N457" s="302">
        <f t="shared" si="926"/>
        <v>0</v>
      </c>
      <c r="O457" s="151">
        <v>4200</v>
      </c>
      <c r="P457" s="151">
        <v>4200</v>
      </c>
      <c r="Q457" s="151">
        <v>4200</v>
      </c>
      <c r="R457" s="151">
        <v>4200</v>
      </c>
      <c r="S457" s="132">
        <f t="shared" si="927"/>
        <v>0</v>
      </c>
      <c r="T457" s="132">
        <f t="shared" si="928"/>
        <v>0</v>
      </c>
      <c r="U457" s="132">
        <f t="shared" si="929"/>
        <v>0</v>
      </c>
      <c r="V457" s="132">
        <f t="shared" si="930"/>
        <v>0</v>
      </c>
      <c r="W457" s="132">
        <f t="shared" si="931"/>
        <v>0</v>
      </c>
      <c r="X457" s="132">
        <f t="shared" si="932"/>
        <v>0</v>
      </c>
      <c r="Y457" s="139" t="s">
        <v>666</v>
      </c>
      <c r="AC457" s="521"/>
    </row>
    <row r="458" spans="1:215" outlineLevel="2" x14ac:dyDescent="0.2">
      <c r="A458" s="495" t="s">
        <v>557</v>
      </c>
      <c r="B458" s="127"/>
      <c r="C458" s="129" t="s">
        <v>245</v>
      </c>
      <c r="D458" s="129" t="s">
        <v>254</v>
      </c>
      <c r="E458" s="184" t="s">
        <v>255</v>
      </c>
      <c r="F458" s="130" t="s">
        <v>607</v>
      </c>
      <c r="G458" s="135" t="s">
        <v>103</v>
      </c>
      <c r="H458" s="136" t="s">
        <v>9</v>
      </c>
      <c r="I458" s="134" t="s">
        <v>504</v>
      </c>
      <c r="J458" s="134"/>
      <c r="K458" s="129"/>
      <c r="L458" s="129"/>
      <c r="M458" s="141"/>
      <c r="N458" s="302">
        <f t="shared" si="926"/>
        <v>0</v>
      </c>
      <c r="O458" s="146">
        <v>4200</v>
      </c>
      <c r="P458" s="146">
        <v>4200</v>
      </c>
      <c r="Q458" s="146">
        <v>4200</v>
      </c>
      <c r="R458" s="146">
        <v>4200</v>
      </c>
      <c r="S458" s="132">
        <f t="shared" si="927"/>
        <v>0</v>
      </c>
      <c r="T458" s="132">
        <f t="shared" si="928"/>
        <v>0</v>
      </c>
      <c r="U458" s="132">
        <f t="shared" si="929"/>
        <v>0</v>
      </c>
      <c r="V458" s="132">
        <f t="shared" si="930"/>
        <v>0</v>
      </c>
      <c r="W458" s="132">
        <f t="shared" si="931"/>
        <v>0</v>
      </c>
      <c r="X458" s="132">
        <f t="shared" si="932"/>
        <v>0</v>
      </c>
      <c r="Y458" s="139" t="s">
        <v>623</v>
      </c>
      <c r="Z458" s="393">
        <v>1</v>
      </c>
      <c r="AC458" s="521"/>
    </row>
    <row r="459" spans="1:215" s="152" customFormat="1" ht="12.75" customHeight="1" outlineLevel="2" x14ac:dyDescent="0.2">
      <c r="A459" s="495" t="s">
        <v>557</v>
      </c>
      <c r="B459" s="127"/>
      <c r="C459" s="129" t="s">
        <v>316</v>
      </c>
      <c r="D459" s="129" t="s">
        <v>320</v>
      </c>
      <c r="E459" s="184" t="s">
        <v>321</v>
      </c>
      <c r="F459" s="130" t="s">
        <v>109</v>
      </c>
      <c r="G459" s="143" t="s">
        <v>291</v>
      </c>
      <c r="H459" s="143" t="s">
        <v>8</v>
      </c>
      <c r="I459" s="129" t="s">
        <v>168</v>
      </c>
      <c r="J459" s="129"/>
      <c r="K459" s="129"/>
      <c r="L459" s="129"/>
      <c r="M459" s="141"/>
      <c r="N459" s="302">
        <f>SUM(J459:M459)</f>
        <v>0</v>
      </c>
      <c r="O459" s="584">
        <v>2942</v>
      </c>
      <c r="P459" s="584">
        <v>2942</v>
      </c>
      <c r="Q459" s="584">
        <v>2942</v>
      </c>
      <c r="R459" s="584">
        <v>2942</v>
      </c>
      <c r="S459" s="132">
        <f>SUMPRODUCT(J459:M459,O459:R459)</f>
        <v>0</v>
      </c>
      <c r="T459" s="132">
        <f t="shared" ref="T459:W460" si="933">IF(O459&gt;prisgrense,J459*prisgrense,J459*O459)</f>
        <v>0</v>
      </c>
      <c r="U459" s="132">
        <f t="shared" si="933"/>
        <v>0</v>
      </c>
      <c r="V459" s="132">
        <f t="shared" si="933"/>
        <v>0</v>
      </c>
      <c r="W459" s="132">
        <f t="shared" si="933"/>
        <v>0</v>
      </c>
      <c r="X459" s="132">
        <f>SUM(T459:W459)</f>
        <v>0</v>
      </c>
      <c r="Y459" s="157" t="s">
        <v>958</v>
      </c>
      <c r="Z459" s="395">
        <v>7</v>
      </c>
      <c r="AC459" s="559"/>
    </row>
    <row r="460" spans="1:215" ht="12.75" customHeight="1" outlineLevel="2" x14ac:dyDescent="0.2">
      <c r="A460" s="495" t="s">
        <v>557</v>
      </c>
      <c r="B460" s="127"/>
      <c r="C460" s="129" t="s">
        <v>288</v>
      </c>
      <c r="D460" s="129" t="s">
        <v>348</v>
      </c>
      <c r="E460" s="184" t="s">
        <v>349</v>
      </c>
      <c r="F460" s="135" t="s">
        <v>109</v>
      </c>
      <c r="G460" s="135" t="s">
        <v>291</v>
      </c>
      <c r="H460" s="136" t="s">
        <v>8</v>
      </c>
      <c r="I460" s="134" t="s">
        <v>68</v>
      </c>
      <c r="J460" s="134"/>
      <c r="K460" s="134"/>
      <c r="L460" s="134"/>
      <c r="M460" s="177"/>
      <c r="N460" s="302">
        <f>SUM(J460:M460)</f>
        <v>0</v>
      </c>
      <c r="O460" s="146">
        <v>3782</v>
      </c>
      <c r="P460" s="146">
        <v>3782</v>
      </c>
      <c r="Q460" s="146">
        <v>3782</v>
      </c>
      <c r="R460" s="146">
        <v>3782</v>
      </c>
      <c r="S460" s="132">
        <f>SUMPRODUCT(J460:M460,O460:R460)</f>
        <v>0</v>
      </c>
      <c r="T460" s="132">
        <f t="shared" si="933"/>
        <v>0</v>
      </c>
      <c r="U460" s="132">
        <f t="shared" si="933"/>
        <v>0</v>
      </c>
      <c r="V460" s="132">
        <f t="shared" si="933"/>
        <v>0</v>
      </c>
      <c r="W460" s="132">
        <f t="shared" si="933"/>
        <v>0</v>
      </c>
      <c r="X460" s="132">
        <f>SUM(T460:W460)</f>
        <v>0</v>
      </c>
      <c r="Y460" s="104" t="s">
        <v>926</v>
      </c>
      <c r="Z460" s="393">
        <v>3</v>
      </c>
      <c r="AC460" s="521"/>
    </row>
    <row r="461" spans="1:215" s="152" customFormat="1" ht="12.75" customHeight="1" outlineLevel="2" x14ac:dyDescent="0.2">
      <c r="A461" s="495" t="s">
        <v>557</v>
      </c>
      <c r="B461" s="150"/>
      <c r="C461" s="156" t="s">
        <v>597</v>
      </c>
      <c r="D461" s="129" t="s">
        <v>598</v>
      </c>
      <c r="E461" s="184" t="s">
        <v>599</v>
      </c>
      <c r="F461" s="135" t="s">
        <v>109</v>
      </c>
      <c r="G461" s="135" t="s">
        <v>291</v>
      </c>
      <c r="H461" s="135" t="s">
        <v>8</v>
      </c>
      <c r="I461" s="129" t="s">
        <v>68</v>
      </c>
      <c r="J461" s="129"/>
      <c r="K461" s="129"/>
      <c r="L461" s="129"/>
      <c r="M461" s="141"/>
      <c r="N461" s="302">
        <f t="shared" ref="N461" si="934">SUM(J461:M461)</f>
        <v>0</v>
      </c>
      <c r="O461" s="392">
        <v>3361</v>
      </c>
      <c r="P461" s="392">
        <v>3361</v>
      </c>
      <c r="Q461" s="392">
        <v>3361</v>
      </c>
      <c r="R461" s="392">
        <v>3361</v>
      </c>
      <c r="S461" s="132">
        <f t="shared" ref="S461" si="935">SUMPRODUCT(J461:M461,O461:R461)</f>
        <v>0</v>
      </c>
      <c r="T461" s="132">
        <f t="shared" ref="T461" si="936">IF(O461&gt;prisgrense,J461*prisgrense,J461*O461)</f>
        <v>0</v>
      </c>
      <c r="U461" s="132">
        <f t="shared" ref="U461" si="937">IF(P461&gt;prisgrense,K461*prisgrense,K461*P461)</f>
        <v>0</v>
      </c>
      <c r="V461" s="132">
        <f t="shared" ref="V461" si="938">IF(Q461&gt;prisgrense,L461*prisgrense,L461*Q461)</f>
        <v>0</v>
      </c>
      <c r="W461" s="132">
        <f t="shared" ref="W461" si="939">IF(R461&gt;prisgrense,M461*prisgrense,M461*R461)</f>
        <v>0</v>
      </c>
      <c r="X461" s="132">
        <f t="shared" ref="X461" si="940">SUM(T461:W461)</f>
        <v>0</v>
      </c>
      <c r="Y461" s="152" t="s">
        <v>870</v>
      </c>
      <c r="Z461" s="395">
        <v>8</v>
      </c>
      <c r="AA461" s="152" t="s">
        <v>594</v>
      </c>
      <c r="AC461" s="559"/>
    </row>
    <row r="462" spans="1:215" ht="12.75" customHeight="1" outlineLevel="2" x14ac:dyDescent="0.2">
      <c r="A462" s="495" t="s">
        <v>557</v>
      </c>
      <c r="B462" s="150"/>
      <c r="C462" s="129" t="s">
        <v>591</v>
      </c>
      <c r="D462" s="129" t="s">
        <v>595</v>
      </c>
      <c r="E462" s="184" t="s">
        <v>596</v>
      </c>
      <c r="F462" s="135" t="s">
        <v>109</v>
      </c>
      <c r="G462" s="135" t="s">
        <v>291</v>
      </c>
      <c r="H462" s="136" t="s">
        <v>8</v>
      </c>
      <c r="I462" s="134" t="s">
        <v>168</v>
      </c>
      <c r="J462" s="134">
        <v>2</v>
      </c>
      <c r="K462" s="134"/>
      <c r="L462" s="134"/>
      <c r="M462" s="177"/>
      <c r="N462" s="302">
        <f t="shared" ref="N462" si="941">SUM(J462:M462)</f>
        <v>2</v>
      </c>
      <c r="O462" s="146">
        <v>3572</v>
      </c>
      <c r="P462" s="146">
        <v>3572</v>
      </c>
      <c r="Q462" s="146">
        <v>3572</v>
      </c>
      <c r="R462" s="146">
        <v>3572</v>
      </c>
      <c r="S462" s="132">
        <f t="shared" ref="S462" si="942">SUMPRODUCT(J462:M462,O462:R462)</f>
        <v>7144</v>
      </c>
      <c r="T462" s="132">
        <f t="shared" ref="T462" si="943">IF(O462&gt;prisgrense,J462*prisgrense,J462*O462)</f>
        <v>7144</v>
      </c>
      <c r="U462" s="132">
        <f t="shared" ref="U462" si="944">IF(P462&gt;prisgrense,K462*prisgrense,K462*P462)</f>
        <v>0</v>
      </c>
      <c r="V462" s="132">
        <f t="shared" ref="V462" si="945">IF(Q462&gt;prisgrense,L462*prisgrense,L462*Q462)</f>
        <v>0</v>
      </c>
      <c r="W462" s="132">
        <f t="shared" ref="W462" si="946">IF(R462&gt;prisgrense,M462*prisgrense,M462*R462)</f>
        <v>0</v>
      </c>
      <c r="X462" s="132">
        <f t="shared" ref="X462" si="947">SUM(T462:W462)</f>
        <v>7144</v>
      </c>
      <c r="Y462" s="104" t="s">
        <v>870</v>
      </c>
      <c r="Z462" s="393">
        <v>7</v>
      </c>
      <c r="AA462" s="104" t="s">
        <v>594</v>
      </c>
      <c r="AC462" s="521"/>
    </row>
    <row r="463" spans="1:215" ht="12.75" customHeight="1" outlineLevel="2" x14ac:dyDescent="0.2">
      <c r="A463" s="495" t="s">
        <v>557</v>
      </c>
      <c r="B463" s="150"/>
      <c r="C463" s="129"/>
      <c r="D463" s="129" t="s">
        <v>791</v>
      </c>
      <c r="E463" s="184"/>
      <c r="F463" s="135" t="s">
        <v>109</v>
      </c>
      <c r="G463" s="143" t="s">
        <v>291</v>
      </c>
      <c r="H463" s="136" t="s">
        <v>8</v>
      </c>
      <c r="I463" s="134" t="s">
        <v>168</v>
      </c>
      <c r="J463" s="129">
        <v>11</v>
      </c>
      <c r="K463" s="134"/>
      <c r="L463" s="134"/>
      <c r="M463" s="177"/>
      <c r="N463" s="302">
        <f t="shared" ref="N463" si="948">SUM(J463:M463)</f>
        <v>11</v>
      </c>
      <c r="O463" s="146">
        <v>3361</v>
      </c>
      <c r="P463" s="146">
        <v>3361</v>
      </c>
      <c r="Q463" s="146">
        <v>3361</v>
      </c>
      <c r="R463" s="146">
        <v>3361</v>
      </c>
      <c r="S463" s="132">
        <f>SUMPRODUCT(J463:M463,O463:R463)</f>
        <v>36971</v>
      </c>
      <c r="T463" s="132">
        <f>IF(O463&gt;prisgrense,J463*prisgrense,J463*O463)</f>
        <v>36971</v>
      </c>
      <c r="U463" s="132">
        <f>IF(P463&gt;prisgrense,K463*prisgrense,K463*P463)</f>
        <v>0</v>
      </c>
      <c r="V463" s="132">
        <f>IF(Q463&gt;prisgrense,L463*prisgrense,L463*Q463)</f>
        <v>0</v>
      </c>
      <c r="W463" s="132">
        <f>IF(R463&gt;prisgrense,M463*prisgrense,M463*R463)</f>
        <v>0</v>
      </c>
      <c r="X463" s="132">
        <f>SUM(T463:W463)</f>
        <v>36971</v>
      </c>
      <c r="Y463" s="104" t="s">
        <v>950</v>
      </c>
      <c r="Z463" s="393">
        <v>7</v>
      </c>
      <c r="AA463" s="104" t="s">
        <v>849</v>
      </c>
      <c r="AC463" s="521"/>
    </row>
    <row r="464" spans="1:215" ht="12.75" customHeight="1" outlineLevel="2" x14ac:dyDescent="0.2">
      <c r="A464" s="495" t="s">
        <v>557</v>
      </c>
      <c r="B464" s="150"/>
      <c r="C464" s="129" t="s">
        <v>591</v>
      </c>
      <c r="D464" s="129" t="s">
        <v>592</v>
      </c>
      <c r="E464" s="184" t="s">
        <v>593</v>
      </c>
      <c r="F464" s="135" t="s">
        <v>109</v>
      </c>
      <c r="G464" s="143" t="s">
        <v>291</v>
      </c>
      <c r="H464" s="136" t="s">
        <v>8</v>
      </c>
      <c r="I464" s="134" t="s">
        <v>68</v>
      </c>
      <c r="J464" s="134">
        <v>2</v>
      </c>
      <c r="K464" s="134"/>
      <c r="L464" s="134"/>
      <c r="M464" s="177"/>
      <c r="N464" s="302">
        <f t="shared" ref="N464:N468" si="949">SUM(J464:M464)</f>
        <v>2</v>
      </c>
      <c r="O464" s="146">
        <v>3361</v>
      </c>
      <c r="P464" s="146">
        <v>3361</v>
      </c>
      <c r="Q464" s="146">
        <v>3361</v>
      </c>
      <c r="R464" s="146">
        <v>3361</v>
      </c>
      <c r="S464" s="132">
        <f t="shared" ref="S464" si="950">SUMPRODUCT(J464:M464,O464:R464)</f>
        <v>6722</v>
      </c>
      <c r="T464" s="132">
        <f t="shared" ref="T464" si="951">IF(O464&gt;prisgrense,J464*prisgrense,J464*O464)</f>
        <v>6722</v>
      </c>
      <c r="U464" s="132">
        <f t="shared" ref="U464" si="952">IF(P464&gt;prisgrense,K464*prisgrense,K464*P464)</f>
        <v>0</v>
      </c>
      <c r="V464" s="132">
        <f t="shared" ref="V464" si="953">IF(Q464&gt;prisgrense,L464*prisgrense,L464*Q464)</f>
        <v>0</v>
      </c>
      <c r="W464" s="132">
        <f t="shared" ref="W464" si="954">IF(R464&gt;prisgrense,M464*prisgrense,M464*R464)</f>
        <v>0</v>
      </c>
      <c r="X464" s="132">
        <f t="shared" ref="X464" si="955">SUM(T464:W464)</f>
        <v>6722</v>
      </c>
      <c r="Y464" s="104" t="s">
        <v>950</v>
      </c>
      <c r="Z464" s="393">
        <v>4</v>
      </c>
      <c r="AA464" s="104" t="s">
        <v>594</v>
      </c>
      <c r="AC464" s="521"/>
    </row>
    <row r="465" spans="1:35 16384:16384" ht="12.75" customHeight="1" outlineLevel="2" x14ac:dyDescent="0.2">
      <c r="A465" s="495" t="s">
        <v>557</v>
      </c>
      <c r="B465" s="150"/>
      <c r="C465" s="129" t="s">
        <v>785</v>
      </c>
      <c r="D465" s="129" t="s">
        <v>890</v>
      </c>
      <c r="E465" s="184" t="s">
        <v>787</v>
      </c>
      <c r="F465" s="135" t="s">
        <v>109</v>
      </c>
      <c r="G465" s="135" t="s">
        <v>291</v>
      </c>
      <c r="H465" s="136" t="s">
        <v>8</v>
      </c>
      <c r="I465" s="134" t="s">
        <v>68</v>
      </c>
      <c r="J465" s="129">
        <v>3</v>
      </c>
      <c r="K465" s="134"/>
      <c r="L465" s="134"/>
      <c r="M465" s="177"/>
      <c r="N465" s="302">
        <f t="shared" si="949"/>
        <v>3</v>
      </c>
      <c r="O465" s="146">
        <v>3361</v>
      </c>
      <c r="P465" s="146">
        <v>3361</v>
      </c>
      <c r="Q465" s="146">
        <v>3361</v>
      </c>
      <c r="R465" s="146">
        <v>3361</v>
      </c>
      <c r="S465" s="132">
        <f>SUMPRODUCT(J465:M465,O465:R465)</f>
        <v>10083</v>
      </c>
      <c r="T465" s="132">
        <f t="shared" ref="T465" si="956">IF(O465&gt;prisgrense,J465*prisgrense,J465*O465)</f>
        <v>10083</v>
      </c>
      <c r="U465" s="132">
        <f t="shared" ref="U465" si="957">IF(P465&gt;prisgrense,K465*prisgrense,K465*P465)</f>
        <v>0</v>
      </c>
      <c r="V465" s="132">
        <f t="shared" ref="V465" si="958">IF(Q465&gt;prisgrense,L465*prisgrense,L465*Q465)</f>
        <v>0</v>
      </c>
      <c r="W465" s="132">
        <f t="shared" ref="W465" si="959">IF(R465&gt;prisgrense,M465*prisgrense,M465*R465)</f>
        <v>0</v>
      </c>
      <c r="X465" s="132">
        <f>SUM(T465:W465)</f>
        <v>10083</v>
      </c>
      <c r="Y465" s="104" t="s">
        <v>870</v>
      </c>
      <c r="Z465" s="393">
        <v>4</v>
      </c>
      <c r="AA465" s="104" t="s">
        <v>851</v>
      </c>
      <c r="AC465" s="521"/>
    </row>
    <row r="466" spans="1:35 16384:16384" ht="12.75" customHeight="1" outlineLevel="2" x14ac:dyDescent="0.2">
      <c r="A466" s="495" t="s">
        <v>557</v>
      </c>
      <c r="B466" s="150"/>
      <c r="C466" s="129" t="s">
        <v>591</v>
      </c>
      <c r="D466" s="129" t="s">
        <v>889</v>
      </c>
      <c r="E466" s="184" t="s">
        <v>783</v>
      </c>
      <c r="F466" s="130" t="s">
        <v>109</v>
      </c>
      <c r="G466" s="143" t="s">
        <v>291</v>
      </c>
      <c r="H466" s="133" t="s">
        <v>8</v>
      </c>
      <c r="I466" s="134" t="s">
        <v>68</v>
      </c>
      <c r="J466" s="129">
        <v>8</v>
      </c>
      <c r="K466" s="134"/>
      <c r="L466" s="134"/>
      <c r="M466" s="177"/>
      <c r="N466" s="302">
        <f t="shared" si="949"/>
        <v>8</v>
      </c>
      <c r="O466" s="146">
        <v>4202</v>
      </c>
      <c r="P466" s="146">
        <v>4202</v>
      </c>
      <c r="Q466" s="146">
        <v>4202</v>
      </c>
      <c r="R466" s="146">
        <v>4202</v>
      </c>
      <c r="S466" s="132">
        <f t="shared" ref="S466" si="960">SUMPRODUCT(J466:M466,O466:R466)</f>
        <v>33616</v>
      </c>
      <c r="T466" s="132">
        <f t="shared" ref="T466" si="961">IF(O466&gt;prisgrense,J466*prisgrense,J466*O466)</f>
        <v>33616</v>
      </c>
      <c r="U466" s="132">
        <f t="shared" ref="U466" si="962">IF(P466&gt;prisgrense,K466*prisgrense,K466*P466)</f>
        <v>0</v>
      </c>
      <c r="V466" s="132">
        <f t="shared" ref="V466" si="963">IF(Q466&gt;prisgrense,L466*prisgrense,L466*Q466)</f>
        <v>0</v>
      </c>
      <c r="W466" s="132">
        <f t="shared" ref="W466" si="964">IF(R466&gt;prisgrense,M466*prisgrense,M466*R466)</f>
        <v>0</v>
      </c>
      <c r="X466" s="132">
        <f t="shared" ref="X466" si="965">SUM(T466:W466)</f>
        <v>33616</v>
      </c>
      <c r="Y466" s="104" t="s">
        <v>881</v>
      </c>
      <c r="Z466" s="393">
        <v>3</v>
      </c>
      <c r="AA466" s="104" t="s">
        <v>784</v>
      </c>
      <c r="AC466" s="521"/>
    </row>
    <row r="467" spans="1:35 16384:16384" ht="12.75" customHeight="1" outlineLevel="2" x14ac:dyDescent="0.2">
      <c r="A467" s="495" t="s">
        <v>557</v>
      </c>
      <c r="B467" s="150"/>
      <c r="C467" s="129" t="s">
        <v>716</v>
      </c>
      <c r="D467" s="129" t="s">
        <v>717</v>
      </c>
      <c r="E467" s="360" t="s">
        <v>718</v>
      </c>
      <c r="F467" s="130" t="s">
        <v>109</v>
      </c>
      <c r="G467" s="143" t="s">
        <v>291</v>
      </c>
      <c r="H467" s="136" t="s">
        <v>9</v>
      </c>
      <c r="I467" s="134" t="s">
        <v>504</v>
      </c>
      <c r="J467" s="129">
        <v>11</v>
      </c>
      <c r="K467" s="134"/>
      <c r="L467" s="134"/>
      <c r="M467" s="177"/>
      <c r="N467" s="302">
        <f t="shared" si="949"/>
        <v>11</v>
      </c>
      <c r="O467" s="146">
        <v>4202</v>
      </c>
      <c r="P467" s="146">
        <v>4202</v>
      </c>
      <c r="Q467" s="146">
        <v>4202</v>
      </c>
      <c r="R467" s="146">
        <v>4202</v>
      </c>
      <c r="S467" s="132">
        <f t="shared" ref="S467:S468" si="966">SUMPRODUCT(J467:M467,O467:R467)</f>
        <v>46222</v>
      </c>
      <c r="T467" s="132">
        <f t="shared" ref="T467:T468" si="967">IF(O467&gt;prisgrense,J467*prisgrense,J467*O467)</f>
        <v>46222</v>
      </c>
      <c r="U467" s="132">
        <f t="shared" ref="U467:U468" si="968">IF(P467&gt;prisgrense,K467*prisgrense,K467*P467)</f>
        <v>0</v>
      </c>
      <c r="V467" s="132">
        <f t="shared" ref="V467:V468" si="969">IF(Q467&gt;prisgrense,L467*prisgrense,L467*Q467)</f>
        <v>0</v>
      </c>
      <c r="W467" s="132">
        <f t="shared" ref="W467:W468" si="970">IF(R467&gt;prisgrense,M467*prisgrense,M467*R467)</f>
        <v>0</v>
      </c>
      <c r="X467" s="132">
        <f t="shared" ref="X467:X468" si="971">SUM(T467:W467)</f>
        <v>46222</v>
      </c>
      <c r="Y467" s="104" t="s">
        <v>881</v>
      </c>
      <c r="Z467" s="393">
        <v>1</v>
      </c>
      <c r="AC467" s="521"/>
    </row>
    <row r="468" spans="1:35 16384:16384" ht="12.75" customHeight="1" outlineLevel="2" x14ac:dyDescent="0.2">
      <c r="A468" s="495" t="s">
        <v>557</v>
      </c>
      <c r="B468" s="150"/>
      <c r="C468" s="129" t="s">
        <v>716</v>
      </c>
      <c r="D468" s="129" t="s">
        <v>719</v>
      </c>
      <c r="E468" s="360" t="s">
        <v>720</v>
      </c>
      <c r="F468" s="130" t="s">
        <v>109</v>
      </c>
      <c r="G468" s="143" t="s">
        <v>291</v>
      </c>
      <c r="H468" s="136" t="s">
        <v>21</v>
      </c>
      <c r="I468" s="134" t="s">
        <v>504</v>
      </c>
      <c r="J468" s="129">
        <v>3</v>
      </c>
      <c r="K468" s="134"/>
      <c r="L468" s="134"/>
      <c r="M468" s="177"/>
      <c r="N468" s="302">
        <f t="shared" si="949"/>
        <v>3</v>
      </c>
      <c r="O468" s="146">
        <v>3361</v>
      </c>
      <c r="P468" s="146">
        <v>3361</v>
      </c>
      <c r="Q468" s="146">
        <v>3361</v>
      </c>
      <c r="R468" s="146">
        <v>3361</v>
      </c>
      <c r="S468" s="132">
        <f t="shared" si="966"/>
        <v>10083</v>
      </c>
      <c r="T468" s="132">
        <f t="shared" si="967"/>
        <v>10083</v>
      </c>
      <c r="U468" s="132">
        <f t="shared" si="968"/>
        <v>0</v>
      </c>
      <c r="V468" s="132">
        <f t="shared" si="969"/>
        <v>0</v>
      </c>
      <c r="W468" s="132">
        <f t="shared" si="970"/>
        <v>0</v>
      </c>
      <c r="X468" s="132">
        <f t="shared" si="971"/>
        <v>10083</v>
      </c>
      <c r="Y468" s="104" t="s">
        <v>881</v>
      </c>
      <c r="Z468" s="393">
        <v>1</v>
      </c>
      <c r="AC468" s="521"/>
    </row>
    <row r="469" spans="1:35 16384:16384" ht="12.75" customHeight="1" outlineLevel="2" x14ac:dyDescent="0.2">
      <c r="A469" s="495" t="s">
        <v>557</v>
      </c>
      <c r="B469" s="150"/>
      <c r="C469" s="156" t="s">
        <v>952</v>
      </c>
      <c r="D469" s="129" t="s">
        <v>953</v>
      </c>
      <c r="E469" s="184"/>
      <c r="F469" s="130" t="s">
        <v>109</v>
      </c>
      <c r="G469" s="135"/>
      <c r="H469" s="143" t="s">
        <v>21</v>
      </c>
      <c r="I469" s="129" t="s">
        <v>504</v>
      </c>
      <c r="J469" s="129"/>
      <c r="K469" s="129"/>
      <c r="L469" s="129"/>
      <c r="M469" s="141"/>
      <c r="N469" s="302">
        <f t="shared" si="926"/>
        <v>0</v>
      </c>
      <c r="O469" s="429">
        <v>4780</v>
      </c>
      <c r="P469" s="429">
        <v>4780</v>
      </c>
      <c r="Q469" s="429">
        <v>4780</v>
      </c>
      <c r="R469" s="429">
        <v>4780</v>
      </c>
      <c r="S469" s="132">
        <f t="shared" ref="S469" si="972">SUMPRODUCT(J469:M469,O469:R469)</f>
        <v>0</v>
      </c>
      <c r="T469" s="132">
        <f t="shared" ref="T469" si="973">IF(O469&gt;prisgrense,J469*prisgrense,J469*O469)</f>
        <v>0</v>
      </c>
      <c r="U469" s="132">
        <f t="shared" ref="U469" si="974">IF(P469&gt;prisgrense,K469*prisgrense,K469*P469)</f>
        <v>0</v>
      </c>
      <c r="V469" s="132">
        <f t="shared" ref="V469" si="975">IF(Q469&gt;prisgrense,L469*prisgrense,L469*Q469)</f>
        <v>0</v>
      </c>
      <c r="W469" s="132">
        <f t="shared" ref="W469" si="976">IF(R469&gt;prisgrense,M469*prisgrense,M469*R469)</f>
        <v>0</v>
      </c>
      <c r="X469" s="132">
        <f t="shared" ref="X469" si="977">SUM(T469:W469)</f>
        <v>0</v>
      </c>
      <c r="AC469" s="521"/>
    </row>
    <row r="470" spans="1:35 16384:16384" ht="12.75" customHeight="1" outlineLevel="2" x14ac:dyDescent="0.2">
      <c r="A470" s="495" t="s">
        <v>557</v>
      </c>
      <c r="B470" s="150"/>
      <c r="C470" s="129" t="s">
        <v>316</v>
      </c>
      <c r="D470" s="129" t="s">
        <v>350</v>
      </c>
      <c r="E470" s="184" t="s">
        <v>351</v>
      </c>
      <c r="F470" s="130" t="s">
        <v>109</v>
      </c>
      <c r="G470" s="143" t="s">
        <v>291</v>
      </c>
      <c r="H470" s="133" t="s">
        <v>8</v>
      </c>
      <c r="I470" s="134" t="s">
        <v>68</v>
      </c>
      <c r="J470" s="134">
        <v>1</v>
      </c>
      <c r="K470" s="134"/>
      <c r="L470" s="134"/>
      <c r="M470" s="177"/>
      <c r="N470" s="302">
        <f>SUM(J470:M470)</f>
        <v>1</v>
      </c>
      <c r="O470" s="146">
        <v>4148</v>
      </c>
      <c r="P470" s="146">
        <v>4148</v>
      </c>
      <c r="Q470" s="146">
        <v>4148</v>
      </c>
      <c r="R470" s="146">
        <v>4148</v>
      </c>
      <c r="S470" s="132">
        <f>SUMPRODUCT(J470:M470,O470:R470)</f>
        <v>4148</v>
      </c>
      <c r="T470" s="132">
        <f t="shared" ref="T470:W470" si="978">IF(O470&gt;prisgrense,J470*prisgrense,J470*O470)</f>
        <v>4148</v>
      </c>
      <c r="U470" s="132">
        <f t="shared" si="978"/>
        <v>0</v>
      </c>
      <c r="V470" s="132">
        <f t="shared" si="978"/>
        <v>0</v>
      </c>
      <c r="W470" s="132">
        <f t="shared" si="978"/>
        <v>0</v>
      </c>
      <c r="X470" s="132">
        <f>SUM(T470:W470)</f>
        <v>4148</v>
      </c>
      <c r="Y470" s="104" t="s">
        <v>782</v>
      </c>
      <c r="Z470" s="393">
        <v>3</v>
      </c>
      <c r="AC470" s="521"/>
    </row>
    <row r="471" spans="1:35 16384:16384" ht="12.75" customHeight="1" outlineLevel="2" x14ac:dyDescent="0.2">
      <c r="A471" s="495" t="s">
        <v>557</v>
      </c>
      <c r="B471" s="150"/>
      <c r="C471" s="129" t="s">
        <v>316</v>
      </c>
      <c r="D471" s="129" t="s">
        <v>317</v>
      </c>
      <c r="E471" s="184" t="s">
        <v>318</v>
      </c>
      <c r="F471" s="130" t="s">
        <v>109</v>
      </c>
      <c r="G471" s="143" t="s">
        <v>291</v>
      </c>
      <c r="H471" s="136" t="s">
        <v>8</v>
      </c>
      <c r="I471" s="134" t="s">
        <v>319</v>
      </c>
      <c r="J471" s="134"/>
      <c r="K471" s="134"/>
      <c r="L471" s="134"/>
      <c r="M471" s="177"/>
      <c r="N471" s="302">
        <f t="shared" ref="N471:N473" si="979">SUM(J471:M471)</f>
        <v>0</v>
      </c>
      <c r="O471" s="146">
        <v>1000</v>
      </c>
      <c r="P471" s="146">
        <v>1000</v>
      </c>
      <c r="Q471" s="146">
        <v>1000</v>
      </c>
      <c r="R471" s="146">
        <v>1000</v>
      </c>
      <c r="S471" s="132">
        <f t="shared" ref="S471:S473" si="980">SUMPRODUCT(J471:M471,O471:R471)</f>
        <v>0</v>
      </c>
      <c r="T471" s="132">
        <f t="shared" ref="T471:W473" si="981">IF(O471&gt;prisgrense,J471*prisgrense,J471*O471)</f>
        <v>0</v>
      </c>
      <c r="U471" s="132">
        <f t="shared" si="981"/>
        <v>0</v>
      </c>
      <c r="V471" s="132">
        <f t="shared" si="981"/>
        <v>0</v>
      </c>
      <c r="W471" s="132">
        <f t="shared" si="981"/>
        <v>0</v>
      </c>
      <c r="X471" s="132">
        <f t="shared" ref="X471:X473" si="982">SUM(T471:W471)</f>
        <v>0</v>
      </c>
      <c r="Y471" s="104" t="s">
        <v>721</v>
      </c>
      <c r="Z471" s="393">
        <v>1</v>
      </c>
      <c r="AC471" s="521"/>
    </row>
    <row r="472" spans="1:35 16384:16384" ht="12.75" customHeight="1" outlineLevel="2" x14ac:dyDescent="0.2">
      <c r="A472" s="495" t="s">
        <v>557</v>
      </c>
      <c r="B472" s="150"/>
      <c r="C472" s="129" t="s">
        <v>316</v>
      </c>
      <c r="D472" s="129" t="s">
        <v>324</v>
      </c>
      <c r="E472" s="184" t="s">
        <v>325</v>
      </c>
      <c r="F472" s="130" t="s">
        <v>109</v>
      </c>
      <c r="G472" s="143" t="s">
        <v>291</v>
      </c>
      <c r="H472" s="136" t="s">
        <v>9</v>
      </c>
      <c r="I472" s="134" t="s">
        <v>504</v>
      </c>
      <c r="J472" s="134">
        <v>1</v>
      </c>
      <c r="K472" s="134"/>
      <c r="L472" s="134"/>
      <c r="M472" s="177"/>
      <c r="N472" s="302">
        <f t="shared" si="979"/>
        <v>1</v>
      </c>
      <c r="O472" s="146">
        <v>4000</v>
      </c>
      <c r="P472" s="146">
        <v>4000</v>
      </c>
      <c r="Q472" s="146">
        <v>4000</v>
      </c>
      <c r="R472" s="146">
        <v>4000</v>
      </c>
      <c r="S472" s="132">
        <f t="shared" si="980"/>
        <v>4000</v>
      </c>
      <c r="T472" s="132">
        <f t="shared" si="981"/>
        <v>4000</v>
      </c>
      <c r="U472" s="132">
        <f t="shared" si="981"/>
        <v>0</v>
      </c>
      <c r="V472" s="132">
        <f t="shared" si="981"/>
        <v>0</v>
      </c>
      <c r="W472" s="132">
        <f t="shared" si="981"/>
        <v>0</v>
      </c>
      <c r="X472" s="132">
        <f t="shared" si="982"/>
        <v>4000</v>
      </c>
      <c r="Y472" s="104" t="s">
        <v>721</v>
      </c>
      <c r="Z472" s="393">
        <v>1</v>
      </c>
      <c r="AC472" s="521"/>
    </row>
    <row r="473" spans="1:35 16384:16384" ht="12.75" customHeight="1" outlineLevel="2" x14ac:dyDescent="0.2">
      <c r="A473" s="495" t="s">
        <v>557</v>
      </c>
      <c r="B473" s="150"/>
      <c r="C473" s="129" t="s">
        <v>316</v>
      </c>
      <c r="D473" s="129" t="s">
        <v>326</v>
      </c>
      <c r="E473" s="184" t="s">
        <v>327</v>
      </c>
      <c r="F473" s="130" t="s">
        <v>109</v>
      </c>
      <c r="G473" s="143" t="s">
        <v>291</v>
      </c>
      <c r="H473" s="136" t="s">
        <v>21</v>
      </c>
      <c r="I473" s="134" t="s">
        <v>504</v>
      </c>
      <c r="J473" s="134"/>
      <c r="K473" s="134"/>
      <c r="L473" s="134"/>
      <c r="M473" s="177"/>
      <c r="N473" s="302">
        <f t="shared" si="979"/>
        <v>0</v>
      </c>
      <c r="O473" s="146">
        <v>3200</v>
      </c>
      <c r="P473" s="146">
        <v>3200</v>
      </c>
      <c r="Q473" s="146">
        <v>3200</v>
      </c>
      <c r="R473" s="146">
        <v>3200</v>
      </c>
      <c r="S473" s="132">
        <f t="shared" si="980"/>
        <v>0</v>
      </c>
      <c r="T473" s="132">
        <f t="shared" si="981"/>
        <v>0</v>
      </c>
      <c r="U473" s="132">
        <f t="shared" si="981"/>
        <v>0</v>
      </c>
      <c r="V473" s="132">
        <f t="shared" si="981"/>
        <v>0</v>
      </c>
      <c r="W473" s="132">
        <f t="shared" si="981"/>
        <v>0</v>
      </c>
      <c r="X473" s="132">
        <f t="shared" si="982"/>
        <v>0</v>
      </c>
      <c r="Y473" s="104" t="s">
        <v>721</v>
      </c>
      <c r="Z473" s="393">
        <v>1</v>
      </c>
      <c r="AC473" s="521"/>
    </row>
    <row r="474" spans="1:35 16384:16384" s="152" customFormat="1" ht="12.75" customHeight="1" outlineLevel="2" x14ac:dyDescent="0.2">
      <c r="A474" s="495" t="s">
        <v>557</v>
      </c>
      <c r="B474" s="150"/>
      <c r="C474" s="156"/>
      <c r="D474" s="129" t="s">
        <v>535</v>
      </c>
      <c r="E474" s="184"/>
      <c r="F474" s="130" t="s">
        <v>109</v>
      </c>
      <c r="G474" s="143" t="s">
        <v>291</v>
      </c>
      <c r="H474" s="143" t="s">
        <v>21</v>
      </c>
      <c r="I474" s="129" t="s">
        <v>504</v>
      </c>
      <c r="J474" s="129"/>
      <c r="K474" s="129"/>
      <c r="L474" s="129"/>
      <c r="M474" s="141"/>
      <c r="N474" s="302">
        <f t="shared" ref="N474:N476" si="983">SUM(J474:M474)</f>
        <v>0</v>
      </c>
      <c r="O474" s="146">
        <v>2302</v>
      </c>
      <c r="P474" s="146">
        <v>2302</v>
      </c>
      <c r="Q474" s="146">
        <v>2302</v>
      </c>
      <c r="R474" s="146">
        <v>2302</v>
      </c>
      <c r="S474" s="132">
        <f t="shared" ref="S474:S476" si="984">SUMPRODUCT(J474:M474,O474:R474)</f>
        <v>0</v>
      </c>
      <c r="T474" s="132">
        <f t="shared" ref="T474:T476" si="985">IF(O474&gt;prisgrense,J474*prisgrense,J474*O474)</f>
        <v>0</v>
      </c>
      <c r="U474" s="132">
        <f t="shared" ref="U474:U476" si="986">IF(P474&gt;prisgrense,K474*prisgrense,K474*P474)</f>
        <v>0</v>
      </c>
      <c r="V474" s="132">
        <f t="shared" ref="V474:V476" si="987">IF(Q474&gt;prisgrense,L474*prisgrense,L474*Q474)</f>
        <v>0</v>
      </c>
      <c r="W474" s="132">
        <f t="shared" ref="W474:W476" si="988">IF(R474&gt;prisgrense,M474*prisgrense,M474*R474)</f>
        <v>0</v>
      </c>
      <c r="X474" s="132">
        <f t="shared" ref="X474:X476" si="989">SUM(T474:W474)</f>
        <v>0</v>
      </c>
      <c r="Z474" s="395"/>
      <c r="AC474" s="521"/>
    </row>
    <row r="475" spans="1:35 16384:16384" s="152" customFormat="1" ht="12.75" customHeight="1" outlineLevel="2" x14ac:dyDescent="0.2">
      <c r="A475" s="495" t="s">
        <v>557</v>
      </c>
      <c r="B475" s="150"/>
      <c r="C475" s="156"/>
      <c r="D475" s="129" t="s">
        <v>534</v>
      </c>
      <c r="E475" s="184"/>
      <c r="F475" s="130" t="s">
        <v>109</v>
      </c>
      <c r="G475" s="143" t="s">
        <v>291</v>
      </c>
      <c r="H475" s="143" t="s">
        <v>9</v>
      </c>
      <c r="I475" s="129" t="s">
        <v>504</v>
      </c>
      <c r="J475" s="129"/>
      <c r="K475" s="129"/>
      <c r="L475" s="129"/>
      <c r="M475" s="141"/>
      <c r="N475" s="302">
        <f t="shared" si="983"/>
        <v>0</v>
      </c>
      <c r="O475" s="146">
        <v>2302</v>
      </c>
      <c r="P475" s="146">
        <v>2302</v>
      </c>
      <c r="Q475" s="146">
        <v>2302</v>
      </c>
      <c r="R475" s="146">
        <v>2302</v>
      </c>
      <c r="S475" s="132">
        <f t="shared" si="984"/>
        <v>0</v>
      </c>
      <c r="T475" s="132">
        <f t="shared" si="985"/>
        <v>0</v>
      </c>
      <c r="U475" s="132">
        <f t="shared" si="986"/>
        <v>0</v>
      </c>
      <c r="V475" s="132">
        <f t="shared" si="987"/>
        <v>0</v>
      </c>
      <c r="W475" s="132">
        <f t="shared" si="988"/>
        <v>0</v>
      </c>
      <c r="X475" s="132">
        <f t="shared" si="989"/>
        <v>0</v>
      </c>
      <c r="Z475" s="395"/>
      <c r="AC475" s="521"/>
    </row>
    <row r="476" spans="1:35 16384:16384" s="152" customFormat="1" ht="12.75" customHeight="1" outlineLevel="2" x14ac:dyDescent="0.2">
      <c r="A476" s="495" t="s">
        <v>557</v>
      </c>
      <c r="B476" s="150"/>
      <c r="C476" s="156"/>
      <c r="D476" s="129" t="s">
        <v>533</v>
      </c>
      <c r="E476" s="184"/>
      <c r="F476" s="130" t="s">
        <v>109</v>
      </c>
      <c r="G476" s="143" t="s">
        <v>291</v>
      </c>
      <c r="H476" s="143" t="s">
        <v>8</v>
      </c>
      <c r="I476" s="129" t="s">
        <v>68</v>
      </c>
      <c r="J476" s="129"/>
      <c r="K476" s="129"/>
      <c r="L476" s="129"/>
      <c r="M476" s="141"/>
      <c r="N476" s="302">
        <f t="shared" si="983"/>
        <v>0</v>
      </c>
      <c r="O476" s="146">
        <v>2721</v>
      </c>
      <c r="P476" s="146">
        <v>2721</v>
      </c>
      <c r="Q476" s="146">
        <v>2721</v>
      </c>
      <c r="R476" s="146">
        <v>2721</v>
      </c>
      <c r="S476" s="132">
        <f t="shared" si="984"/>
        <v>0</v>
      </c>
      <c r="T476" s="132">
        <f t="shared" si="985"/>
        <v>0</v>
      </c>
      <c r="U476" s="132">
        <f t="shared" si="986"/>
        <v>0</v>
      </c>
      <c r="V476" s="132">
        <f t="shared" si="987"/>
        <v>0</v>
      </c>
      <c r="W476" s="132">
        <f t="shared" si="988"/>
        <v>0</v>
      </c>
      <c r="X476" s="132">
        <f t="shared" si="989"/>
        <v>0</v>
      </c>
      <c r="Z476" s="395"/>
      <c r="AC476" s="521"/>
    </row>
    <row r="477" spans="1:35 16384:16384" s="152" customFormat="1" ht="12.75" customHeight="1" outlineLevel="1" x14ac:dyDescent="0.2">
      <c r="A477" s="498" t="s">
        <v>558</v>
      </c>
      <c r="B477" s="181"/>
      <c r="C477" s="203"/>
      <c r="D477" s="154"/>
      <c r="E477" s="320"/>
      <c r="F477" s="182"/>
      <c r="G477" s="183"/>
      <c r="H477" s="183"/>
      <c r="I477" s="154"/>
      <c r="J477" s="172">
        <f>SUBTOTAL(9,J347:J476)</f>
        <v>686</v>
      </c>
      <c r="K477" s="172">
        <f>SUBTOTAL(9,K347:K476)</f>
        <v>0</v>
      </c>
      <c r="L477" s="172">
        <f>SUBTOTAL(9,L347:L476)</f>
        <v>0</v>
      </c>
      <c r="M477" s="172">
        <f>SUBTOTAL(9,M347:M476)</f>
        <v>0</v>
      </c>
      <c r="N477" s="293">
        <f>SUBTOTAL(9,N347:N476)</f>
        <v>686</v>
      </c>
      <c r="O477" s="172"/>
      <c r="P477" s="154"/>
      <c r="Q477" s="172"/>
      <c r="R477" s="172"/>
      <c r="S477" s="400">
        <f t="shared" ref="S477:X477" si="990">SUBTOTAL(9,S347:S476)</f>
        <v>3078231</v>
      </c>
      <c r="T477" s="172">
        <f t="shared" si="990"/>
        <v>3071745</v>
      </c>
      <c r="U477" s="172">
        <f t="shared" si="990"/>
        <v>0</v>
      </c>
      <c r="V477" s="172">
        <f t="shared" si="990"/>
        <v>0</v>
      </c>
      <c r="W477" s="400">
        <f t="shared" si="990"/>
        <v>0</v>
      </c>
      <c r="X477" s="400">
        <f t="shared" si="990"/>
        <v>3071745</v>
      </c>
      <c r="Z477" s="395"/>
      <c r="XFD477" s="152">
        <f>SUBTOTAL(9,XFD347:XFD476)</f>
        <v>0</v>
      </c>
    </row>
    <row r="478" spans="1:35 16384:16384" s="3" customFormat="1" outlineLevel="1" x14ac:dyDescent="0.2">
      <c r="A478" s="501"/>
      <c r="B478" s="5"/>
      <c r="C478" s="5"/>
      <c r="D478" s="154" t="s">
        <v>493</v>
      </c>
      <c r="E478" s="367"/>
      <c r="F478" s="6"/>
      <c r="G478" s="6"/>
      <c r="H478" s="6"/>
      <c r="J478" s="369"/>
      <c r="K478" s="369"/>
      <c r="L478" s="369" t="e">
        <f>L477/L480</f>
        <v>#DIV/0!</v>
      </c>
      <c r="M478" s="369" t="e">
        <f>M477/M480</f>
        <v>#DIV/0!</v>
      </c>
      <c r="N478" s="380"/>
      <c r="O478" s="4"/>
      <c r="P478" s="4"/>
      <c r="Q478" s="4"/>
      <c r="R478" s="4"/>
      <c r="S478" s="381"/>
      <c r="T478" s="381">
        <f t="shared" ref="T478:W478" si="991">T477/T480</f>
        <v>2.4489804606877982E-2</v>
      </c>
      <c r="U478" s="381" t="e">
        <f t="shared" si="991"/>
        <v>#DIV/0!</v>
      </c>
      <c r="V478" s="381" t="e">
        <f t="shared" si="991"/>
        <v>#DIV/0!</v>
      </c>
      <c r="W478" s="381" t="e">
        <f t="shared" si="991"/>
        <v>#DIV/0!</v>
      </c>
      <c r="X478" s="381"/>
      <c r="Y478" s="7"/>
      <c r="Z478" s="396"/>
      <c r="AA478" s="7"/>
      <c r="AB478" s="7"/>
      <c r="AC478" s="7"/>
      <c r="AD478" s="7"/>
      <c r="AE478" s="7"/>
      <c r="AF478" s="7"/>
      <c r="AG478" s="5"/>
      <c r="AI478" s="71"/>
    </row>
    <row r="479" spans="1:35 16384:16384" s="3" customFormat="1" ht="13.5" outlineLevel="1" thickBot="1" x14ac:dyDescent="0.25">
      <c r="A479" s="502"/>
      <c r="B479" s="5"/>
      <c r="C479" s="5"/>
      <c r="D479" s="154"/>
      <c r="E479" s="367"/>
      <c r="F479" s="6"/>
      <c r="G479" s="6"/>
      <c r="H479" s="6"/>
      <c r="J479" s="369"/>
      <c r="M479" s="4"/>
      <c r="N479" s="380"/>
      <c r="O479" s="4"/>
      <c r="P479" s="4"/>
      <c r="Q479" s="4"/>
      <c r="R479" s="4"/>
      <c r="S479" s="381"/>
      <c r="T479" s="381"/>
      <c r="U479" s="381"/>
      <c r="V479" s="381"/>
      <c r="W479" s="381"/>
      <c r="X479" s="381"/>
      <c r="Y479" s="7"/>
      <c r="Z479" s="396"/>
      <c r="AA479" s="7"/>
      <c r="AB479" s="7"/>
      <c r="AC479" s="7"/>
      <c r="AD479" s="7"/>
      <c r="AE479" s="7"/>
      <c r="AF479" s="7"/>
      <c r="AG479" s="5"/>
      <c r="AI479" s="71"/>
    </row>
    <row r="480" spans="1:35 16384:16384" s="152" customFormat="1" ht="12.75" customHeight="1" thickBot="1" x14ac:dyDescent="0.25">
      <c r="A480" s="498" t="s">
        <v>567</v>
      </c>
      <c r="B480" s="181"/>
      <c r="C480" s="203"/>
      <c r="D480" s="401" t="s">
        <v>682</v>
      </c>
      <c r="E480" s="366"/>
      <c r="F480" s="329"/>
      <c r="G480" s="329"/>
      <c r="H480" s="329"/>
      <c r="I480" s="330"/>
      <c r="J480" s="331">
        <f>SUBTOTAL(9,J11:J476)</f>
        <v>26814</v>
      </c>
      <c r="K480" s="331">
        <f>SUBTOTAL(9,K11:K476)</f>
        <v>0</v>
      </c>
      <c r="L480" s="331">
        <f>SUBTOTAL(9,L11:L476)</f>
        <v>0</v>
      </c>
      <c r="M480" s="331">
        <f>SUBTOTAL(9,M11:M476)</f>
        <v>0</v>
      </c>
      <c r="N480" s="349">
        <f>SUBTOTAL(9,N11:N476)</f>
        <v>26814</v>
      </c>
      <c r="O480" s="331"/>
      <c r="P480" s="540"/>
      <c r="Q480" s="331"/>
      <c r="R480" s="331"/>
      <c r="S480" s="332">
        <f t="shared" ref="S480:X480" si="992">SUBTOTAL(9,S11:S476)</f>
        <v>125773364</v>
      </c>
      <c r="T480" s="332">
        <f t="shared" si="992"/>
        <v>125429543</v>
      </c>
      <c r="U480" s="332">
        <f t="shared" si="992"/>
        <v>0</v>
      </c>
      <c r="V480" s="332">
        <f t="shared" si="992"/>
        <v>0</v>
      </c>
      <c r="W480" s="332">
        <f t="shared" si="992"/>
        <v>0</v>
      </c>
      <c r="X480" s="332">
        <f t="shared" si="992"/>
        <v>125429543</v>
      </c>
      <c r="Z480" s="395"/>
      <c r="XFD480" s="152">
        <f>SUBTOTAL(9,XFD11:XFD476)</f>
        <v>0</v>
      </c>
    </row>
    <row r="481" spans="1:35" s="379" customFormat="1" ht="12.75" customHeight="1" thickBot="1" x14ac:dyDescent="0.25">
      <c r="A481" s="503"/>
      <c r="B481" s="370"/>
      <c r="C481" s="371"/>
      <c r="D481" s="372"/>
      <c r="E481" s="373"/>
      <c r="F481" s="374"/>
      <c r="G481" s="375"/>
      <c r="H481" s="375"/>
      <c r="I481" s="372"/>
      <c r="J481" s="372"/>
      <c r="K481" s="372"/>
      <c r="L481" s="372"/>
      <c r="M481" s="376"/>
      <c r="N481" s="377"/>
      <c r="O481" s="378"/>
      <c r="P481" s="378"/>
      <c r="Q481" s="378"/>
      <c r="R481" s="378"/>
      <c r="S481" s="378"/>
      <c r="T481" s="378"/>
      <c r="U481" s="378"/>
      <c r="V481" s="378"/>
      <c r="W481" s="378"/>
      <c r="X481" s="378"/>
      <c r="Z481" s="476"/>
    </row>
    <row r="482" spans="1:35" s="139" customFormat="1" ht="12.75" customHeight="1" thickTop="1" x14ac:dyDescent="0.2">
      <c r="A482" s="504"/>
      <c r="B482" s="181"/>
      <c r="C482" s="203"/>
      <c r="D482" s="382" t="s">
        <v>491</v>
      </c>
      <c r="E482" s="383"/>
      <c r="F482" s="384"/>
      <c r="G482" s="385"/>
      <c r="H482" s="385"/>
      <c r="I482" s="386"/>
      <c r="J482" s="386"/>
      <c r="K482" s="386"/>
      <c r="L482" s="386"/>
      <c r="M482" s="387"/>
      <c r="N482" s="388"/>
      <c r="O482" s="387" t="s">
        <v>490</v>
      </c>
      <c r="P482" s="386" t="s">
        <v>490</v>
      </c>
      <c r="Q482" s="387" t="s">
        <v>490</v>
      </c>
      <c r="R482" s="387" t="s">
        <v>490</v>
      </c>
      <c r="S482" s="389" t="s">
        <v>489</v>
      </c>
      <c r="T482" s="172"/>
      <c r="U482" s="172"/>
      <c r="V482" s="172"/>
      <c r="W482" s="172"/>
      <c r="X482" s="172"/>
      <c r="Z482" s="394"/>
    </row>
    <row r="483" spans="1:35" s="139" customFormat="1" ht="12.75" customHeight="1" x14ac:dyDescent="0.2">
      <c r="A483" s="504"/>
      <c r="B483" s="181"/>
      <c r="C483" s="203"/>
      <c r="D483" s="333" t="s">
        <v>11</v>
      </c>
      <c r="E483" s="320"/>
      <c r="F483" s="182"/>
      <c r="G483" s="183"/>
      <c r="H483" s="183"/>
      <c r="I483" s="154"/>
      <c r="J483" s="154">
        <f>SUMIF($H1:$H479,"=BTE",J1:J479)</f>
        <v>24382</v>
      </c>
      <c r="K483" s="154">
        <f>SUMIF($H1:$H479,"=BTE",K1:K479)</f>
        <v>0</v>
      </c>
      <c r="L483" s="154">
        <f>SUMIF($H1:$H479,"=BTE",L1:L479)</f>
        <v>0</v>
      </c>
      <c r="M483" s="154">
        <f>SUMIF($H1:$H479,"=BTE",M1:M479)</f>
        <v>0</v>
      </c>
      <c r="N483" s="348">
        <f t="shared" ref="N483:N487" si="993">SUM(J483:M483)</f>
        <v>24382</v>
      </c>
      <c r="O483" s="334">
        <f>J483/J$480</f>
        <v>0.90930111135973746</v>
      </c>
      <c r="P483" s="369" t="e">
        <f>K483/K$480</f>
        <v>#DIV/0!</v>
      </c>
      <c r="Q483" s="334" t="e">
        <f>L483/L$480</f>
        <v>#DIV/0!</v>
      </c>
      <c r="R483" s="334" t="e">
        <f>M483/M$480</f>
        <v>#DIV/0!</v>
      </c>
      <c r="S483" s="335">
        <f>N483/N$480</f>
        <v>0.90930111135973746</v>
      </c>
      <c r="T483" s="172"/>
      <c r="U483" s="172"/>
      <c r="V483" s="172"/>
      <c r="W483" s="172"/>
      <c r="X483" s="172"/>
      <c r="Z483" s="394"/>
    </row>
    <row r="484" spans="1:35" s="139" customFormat="1" ht="12.75" customHeight="1" x14ac:dyDescent="0.2">
      <c r="A484" s="504"/>
      <c r="B484" s="181"/>
      <c r="C484" s="203"/>
      <c r="D484" s="333" t="s">
        <v>12</v>
      </c>
      <c r="E484" s="320"/>
      <c r="F484" s="182"/>
      <c r="G484" s="183"/>
      <c r="H484" s="183"/>
      <c r="I484" s="154"/>
      <c r="J484" s="154">
        <f>SUMIF($H1:$H479,"=ITE",J1:J479)</f>
        <v>1704</v>
      </c>
      <c r="K484" s="154">
        <f>SUMIF($H1:$H479,"=ITE",K1:K479)</f>
        <v>0</v>
      </c>
      <c r="L484" s="154">
        <f>SUMIF($H1:$H479,"=ITE",L1:L479)</f>
        <v>0</v>
      </c>
      <c r="M484" s="154">
        <f>SUMIF($H1:$H479,"=ITE",M1:M479)</f>
        <v>0</v>
      </c>
      <c r="N484" s="348">
        <f t="shared" si="993"/>
        <v>1704</v>
      </c>
      <c r="O484" s="334">
        <f t="shared" ref="O484:O487" si="994">J484/J$480</f>
        <v>6.3548892369657647E-2</v>
      </c>
      <c r="P484" s="369" t="e">
        <f t="shared" ref="P484:P487" si="995">K484/K$480</f>
        <v>#DIV/0!</v>
      </c>
      <c r="Q484" s="334" t="e">
        <f t="shared" ref="Q484:R487" si="996">L484/L$480</f>
        <v>#DIV/0!</v>
      </c>
      <c r="R484" s="334" t="e">
        <f t="shared" si="996"/>
        <v>#DIV/0!</v>
      </c>
      <c r="S484" s="335">
        <f t="shared" ref="S484:S487" si="997">N484/N$480</f>
        <v>6.3548892369657647E-2</v>
      </c>
      <c r="T484" s="172"/>
      <c r="U484" s="172"/>
      <c r="V484" s="172"/>
      <c r="W484" s="172"/>
      <c r="X484" s="172"/>
      <c r="Z484" s="394"/>
    </row>
    <row r="485" spans="1:35" s="139" customFormat="1" ht="12.75" customHeight="1" x14ac:dyDescent="0.2">
      <c r="A485" s="504"/>
      <c r="B485" s="181"/>
      <c r="C485" s="203"/>
      <c r="D485" s="333" t="s">
        <v>13</v>
      </c>
      <c r="E485" s="320"/>
      <c r="F485" s="182"/>
      <c r="G485" s="183"/>
      <c r="H485" s="183"/>
      <c r="I485" s="154"/>
      <c r="J485" s="154">
        <f>SUMIF($H1:$H479,"=KAN",J1:J479)</f>
        <v>0</v>
      </c>
      <c r="K485" s="154">
        <f>SUMIF($H1:$H479,"=KAN",K1:K479)</f>
        <v>0</v>
      </c>
      <c r="L485" s="154">
        <f>SUMIF($H1:$H479,"=KAN",L1:L479)</f>
        <v>0</v>
      </c>
      <c r="M485" s="154">
        <f>SUMIF($H1:$H479,"=KAN",M1:M479)</f>
        <v>0</v>
      </c>
      <c r="N485" s="348">
        <f t="shared" si="993"/>
        <v>0</v>
      </c>
      <c r="O485" s="334">
        <f t="shared" si="994"/>
        <v>0</v>
      </c>
      <c r="P485" s="369" t="e">
        <f t="shared" si="995"/>
        <v>#DIV/0!</v>
      </c>
      <c r="Q485" s="334" t="e">
        <f t="shared" si="996"/>
        <v>#DIV/0!</v>
      </c>
      <c r="R485" s="334" t="e">
        <f t="shared" si="996"/>
        <v>#DIV/0!</v>
      </c>
      <c r="S485" s="335">
        <f t="shared" si="997"/>
        <v>0</v>
      </c>
      <c r="T485" s="172"/>
      <c r="U485" s="172"/>
      <c r="V485" s="172"/>
      <c r="W485" s="172"/>
      <c r="X485" s="172"/>
      <c r="Z485" s="394"/>
    </row>
    <row r="486" spans="1:35" s="139" customFormat="1" ht="12.75" customHeight="1" x14ac:dyDescent="0.2">
      <c r="A486" s="504"/>
      <c r="B486" s="181"/>
      <c r="C486" s="203"/>
      <c r="D486" s="333" t="s">
        <v>21</v>
      </c>
      <c r="E486" s="320"/>
      <c r="F486" s="182"/>
      <c r="G486" s="183"/>
      <c r="H486" s="183"/>
      <c r="I486" s="154"/>
      <c r="J486" s="154">
        <f>SUMIF($H1:$H479,"=CIC",J1:J479)</f>
        <v>665</v>
      </c>
      <c r="K486" s="154">
        <f>SUMIF($H1:$H479,"=CIC",K1:K479)</f>
        <v>0</v>
      </c>
      <c r="L486" s="154">
        <f>SUMIF($H1:$H479,"=CIC",L1:L479)</f>
        <v>0</v>
      </c>
      <c r="M486" s="154">
        <f>SUMIF($H1:$H479,"=CIC",M1:M479)</f>
        <v>0</v>
      </c>
      <c r="N486" s="348">
        <f t="shared" si="993"/>
        <v>665</v>
      </c>
      <c r="O486" s="334">
        <f t="shared" si="994"/>
        <v>2.480047736257179E-2</v>
      </c>
      <c r="P486" s="369" t="e">
        <f t="shared" si="995"/>
        <v>#DIV/0!</v>
      </c>
      <c r="Q486" s="334" t="e">
        <f t="shared" si="996"/>
        <v>#DIV/0!</v>
      </c>
      <c r="R486" s="334" t="e">
        <f t="shared" si="996"/>
        <v>#DIV/0!</v>
      </c>
      <c r="S486" s="335">
        <f t="shared" si="997"/>
        <v>2.480047736257179E-2</v>
      </c>
      <c r="T486" s="172"/>
      <c r="U486" s="172"/>
      <c r="V486" s="172"/>
      <c r="W486" s="172"/>
      <c r="X486" s="172"/>
      <c r="Z486" s="394"/>
    </row>
    <row r="487" spans="1:35" s="139" customFormat="1" ht="12.75" customHeight="1" x14ac:dyDescent="0.2">
      <c r="A487" s="504"/>
      <c r="B487" s="181"/>
      <c r="C487" s="203"/>
      <c r="D487" s="333" t="s">
        <v>1004</v>
      </c>
      <c r="E487" s="320"/>
      <c r="F487" s="182"/>
      <c r="G487" s="183"/>
      <c r="H487" s="183"/>
      <c r="I487" s="154"/>
      <c r="J487" s="154">
        <f>SUMIF($H1:$H479,"=IIC",J1:J479)</f>
        <v>8</v>
      </c>
      <c r="K487" s="154">
        <f>SUMIF($H1:$H479,"=IIC",K1:K479)</f>
        <v>0</v>
      </c>
      <c r="L487" s="154">
        <f>SUMIF($H1:$H479,"=IIC",L1:L479)</f>
        <v>0</v>
      </c>
      <c r="M487" s="154">
        <f>SUMIF($H1:$H479,"=IIC",M1:M479)</f>
        <v>0</v>
      </c>
      <c r="N487" s="348">
        <f t="shared" si="993"/>
        <v>8</v>
      </c>
      <c r="O487" s="334">
        <f t="shared" si="994"/>
        <v>2.9835160736928473E-4</v>
      </c>
      <c r="P487" s="369" t="e">
        <f t="shared" si="995"/>
        <v>#DIV/0!</v>
      </c>
      <c r="Q487" s="334" t="e">
        <f t="shared" si="996"/>
        <v>#DIV/0!</v>
      </c>
      <c r="R487" s="598" t="e">
        <f t="shared" si="996"/>
        <v>#DIV/0!</v>
      </c>
      <c r="S487" s="599">
        <f t="shared" si="997"/>
        <v>2.9835160736928473E-4</v>
      </c>
      <c r="T487" s="172"/>
      <c r="U487" s="172"/>
      <c r="V487" s="172"/>
      <c r="W487" s="172"/>
      <c r="X487" s="172"/>
      <c r="Z487" s="394"/>
    </row>
    <row r="488" spans="1:35" s="139" customFormat="1" ht="12.75" customHeight="1" x14ac:dyDescent="0.2">
      <c r="A488" s="504"/>
      <c r="B488" s="181"/>
      <c r="C488" s="203"/>
      <c r="D488" s="333" t="s">
        <v>133</v>
      </c>
      <c r="E488" s="320"/>
      <c r="F488" s="182"/>
      <c r="G488" s="183"/>
      <c r="H488" s="183"/>
      <c r="I488" s="154"/>
      <c r="J488" s="154">
        <f>SUMIF($H1:$H479,"=BAHA",J1:J479)</f>
        <v>55</v>
      </c>
      <c r="K488" s="154">
        <f>SUMIF($H1:$H479,"=BAHA",K1:K479)</f>
        <v>0</v>
      </c>
      <c r="L488" s="154">
        <f>SUMIF($H1:$H479,"=BAHA",L1:L479)</f>
        <v>0</v>
      </c>
      <c r="M488" s="154">
        <f>SUMIF($H1:$H479,"=BAHA",M1:M479)</f>
        <v>0</v>
      </c>
      <c r="N488" s="348">
        <f>SUM(J488:M488)</f>
        <v>55</v>
      </c>
      <c r="O488" s="334">
        <f>J488/J$480</f>
        <v>2.0511673006638324E-3</v>
      </c>
      <c r="P488" s="369" t="e">
        <f>K488/K$480</f>
        <v>#DIV/0!</v>
      </c>
      <c r="Q488" s="334" t="e">
        <f>L488/L$480</f>
        <v>#DIV/0!</v>
      </c>
      <c r="R488" s="598" t="e">
        <f>M488/M$480</f>
        <v>#DIV/0!</v>
      </c>
      <c r="S488" s="599">
        <f>N488/N$480</f>
        <v>2.0511673006638324E-3</v>
      </c>
      <c r="T488" s="172"/>
      <c r="U488" s="172"/>
      <c r="V488" s="172"/>
      <c r="W488" s="172"/>
      <c r="X488" s="172"/>
      <c r="Z488" s="394"/>
    </row>
    <row r="489" spans="1:35" s="139" customFormat="1" ht="12.75" customHeight="1" thickBot="1" x14ac:dyDescent="0.25">
      <c r="A489" s="504"/>
      <c r="B489" s="181"/>
      <c r="C489" s="203"/>
      <c r="D489" s="590" t="s">
        <v>137</v>
      </c>
      <c r="E489" s="591"/>
      <c r="F489" s="592"/>
      <c r="G489" s="593"/>
      <c r="H489" s="593"/>
      <c r="I489" s="594"/>
      <c r="J489" s="594">
        <f>SUM(J483:J488)</f>
        <v>26814</v>
      </c>
      <c r="K489" s="594">
        <f>SUM(K483:K488)</f>
        <v>0</v>
      </c>
      <c r="L489" s="594">
        <f>SUM(L483:L488)</f>
        <v>0</v>
      </c>
      <c r="M489" s="594">
        <f>SUM(M483:M488)</f>
        <v>0</v>
      </c>
      <c r="N489" s="595">
        <f>SUM(N483:N488)</f>
        <v>26814</v>
      </c>
      <c r="O489" s="596">
        <f>SUM(O483:O487)</f>
        <v>0.9979488326993361</v>
      </c>
      <c r="P489" s="596" t="e">
        <f>SUM(P483:P487)</f>
        <v>#DIV/0!</v>
      </c>
      <c r="Q489" s="596" t="e">
        <f>SUM(Q483:Q487)</f>
        <v>#DIV/0!</v>
      </c>
      <c r="R489" s="596" t="e">
        <f>SUM(R483:R488)</f>
        <v>#DIV/0!</v>
      </c>
      <c r="S489" s="597">
        <f>SUM(S483:S488)</f>
        <v>0.99999999999999989</v>
      </c>
      <c r="T489" s="172"/>
      <c r="U489" s="172"/>
      <c r="V489" s="172"/>
      <c r="W489" s="172"/>
      <c r="X489" s="172"/>
      <c r="Z489" s="394"/>
    </row>
    <row r="490" spans="1:35" s="407" customFormat="1" ht="13.5" thickTop="1" x14ac:dyDescent="0.2">
      <c r="A490" s="505"/>
      <c r="B490" s="292"/>
      <c r="C490" s="292"/>
      <c r="D490" s="292"/>
      <c r="E490" s="444"/>
      <c r="F490" s="410"/>
      <c r="G490" s="410"/>
      <c r="H490" s="410"/>
      <c r="N490" s="293"/>
      <c r="S490" s="445"/>
      <c r="T490" s="139"/>
      <c r="U490" s="445"/>
      <c r="V490" s="172"/>
      <c r="W490" s="172"/>
      <c r="X490" s="445"/>
      <c r="Y490" s="139"/>
      <c r="Z490" s="394"/>
      <c r="AA490" s="139"/>
      <c r="AB490" s="139"/>
      <c r="AC490" s="326"/>
      <c r="AD490" s="326"/>
      <c r="AE490" s="326"/>
      <c r="AF490" s="326"/>
      <c r="AG490" s="292"/>
      <c r="AI490" s="446"/>
    </row>
    <row r="491" spans="1:35" s="407" customFormat="1" x14ac:dyDescent="0.2">
      <c r="A491" s="505"/>
      <c r="B491" s="292"/>
      <c r="C491" s="292"/>
      <c r="D491" s="292"/>
      <c r="E491" s="444"/>
      <c r="F491" s="410"/>
      <c r="G491" s="410"/>
      <c r="H491" s="410"/>
      <c r="N491" s="293"/>
      <c r="T491" s="139"/>
      <c r="V491" s="172"/>
      <c r="W491" s="172"/>
      <c r="Y491" s="326"/>
      <c r="Z491" s="447"/>
      <c r="AA491" s="326"/>
      <c r="AB491" s="326"/>
      <c r="AC491" s="326"/>
      <c r="AD491" s="326"/>
      <c r="AE491" s="326"/>
      <c r="AF491" s="326"/>
      <c r="AG491" s="292"/>
      <c r="AI491" s="446"/>
    </row>
    <row r="492" spans="1:35" s="407" customFormat="1" x14ac:dyDescent="0.2">
      <c r="A492" s="505"/>
      <c r="B492" s="292"/>
      <c r="C492" s="292"/>
      <c r="D492" s="292"/>
      <c r="E492" s="444"/>
      <c r="F492" s="410"/>
      <c r="G492" s="410"/>
      <c r="H492" s="410"/>
      <c r="N492" s="293"/>
      <c r="V492" s="172"/>
      <c r="W492" s="172"/>
      <c r="Y492" s="326"/>
      <c r="Z492" s="447"/>
      <c r="AA492" s="326"/>
      <c r="AB492" s="326"/>
      <c r="AC492" s="326"/>
      <c r="AD492" s="326"/>
      <c r="AE492" s="326"/>
      <c r="AF492" s="326"/>
      <c r="AG492" s="292"/>
      <c r="AI492" s="446"/>
    </row>
    <row r="493" spans="1:35" s="407" customFormat="1" x14ac:dyDescent="0.2">
      <c r="A493" s="505"/>
      <c r="B493" s="292"/>
      <c r="C493" s="292"/>
      <c r="D493" s="292"/>
      <c r="E493" s="444"/>
      <c r="F493" s="410"/>
      <c r="G493" s="410"/>
      <c r="H493" s="410"/>
      <c r="N493" s="293"/>
      <c r="V493" s="172"/>
      <c r="W493" s="172"/>
      <c r="Y493" s="326"/>
      <c r="Z493" s="447"/>
      <c r="AA493" s="326"/>
      <c r="AB493" s="326"/>
      <c r="AC493" s="326"/>
      <c r="AD493" s="326"/>
      <c r="AE493" s="326"/>
      <c r="AF493" s="326"/>
      <c r="AG493" s="292"/>
      <c r="AI493" s="446"/>
    </row>
    <row r="494" spans="1:35" s="407" customFormat="1" x14ac:dyDescent="0.2">
      <c r="A494" s="505"/>
      <c r="B494" s="292"/>
      <c r="C494" s="292"/>
      <c r="D494" s="292"/>
      <c r="E494" s="444"/>
      <c r="F494" s="410"/>
      <c r="G494" s="410"/>
      <c r="H494" s="410"/>
      <c r="N494" s="293"/>
      <c r="V494" s="172"/>
      <c r="W494" s="172"/>
      <c r="Y494" s="326"/>
      <c r="Z494" s="447"/>
      <c r="AA494" s="326"/>
      <c r="AB494" s="326"/>
      <c r="AC494" s="326"/>
      <c r="AD494" s="326"/>
      <c r="AE494" s="326"/>
      <c r="AF494" s="326"/>
      <c r="AG494" s="292"/>
      <c r="AI494" s="446"/>
    </row>
    <row r="495" spans="1:35" s="407" customFormat="1" x14ac:dyDescent="0.2">
      <c r="A495" s="505"/>
      <c r="B495" s="292"/>
      <c r="C495" s="292"/>
      <c r="D495" s="292"/>
      <c r="E495" s="444"/>
      <c r="F495" s="410"/>
      <c r="G495" s="410"/>
      <c r="H495" s="410"/>
      <c r="N495" s="293"/>
      <c r="V495" s="172"/>
      <c r="W495" s="172"/>
      <c r="Y495" s="326"/>
      <c r="Z495" s="447"/>
      <c r="AA495" s="326"/>
      <c r="AB495" s="326"/>
      <c r="AC495" s="326"/>
      <c r="AD495" s="326"/>
      <c r="AE495" s="326"/>
      <c r="AF495" s="326"/>
      <c r="AG495" s="292"/>
      <c r="AI495" s="446"/>
    </row>
    <row r="496" spans="1:35" s="407" customFormat="1" x14ac:dyDescent="0.2">
      <c r="A496" s="505"/>
      <c r="B496" s="292"/>
      <c r="C496" s="292"/>
      <c r="D496" s="292"/>
      <c r="E496" s="444"/>
      <c r="F496" s="410"/>
      <c r="G496" s="410"/>
      <c r="H496" s="410"/>
      <c r="N496" s="293"/>
      <c r="V496" s="172"/>
      <c r="W496" s="172"/>
      <c r="Y496" s="326"/>
      <c r="Z496" s="447"/>
      <c r="AA496" s="326"/>
      <c r="AB496" s="326"/>
      <c r="AC496" s="326"/>
      <c r="AD496" s="326"/>
      <c r="AE496" s="326"/>
      <c r="AF496" s="326"/>
      <c r="AG496" s="292"/>
      <c r="AI496" s="446"/>
    </row>
    <row r="497" spans="1:41" s="407" customFormat="1" x14ac:dyDescent="0.2">
      <c r="A497" s="505"/>
      <c r="B497" s="292"/>
      <c r="C497" s="292"/>
      <c r="D497" s="292"/>
      <c r="E497" s="444"/>
      <c r="F497" s="410"/>
      <c r="G497" s="410"/>
      <c r="H497" s="410"/>
      <c r="N497" s="293"/>
      <c r="V497" s="172"/>
      <c r="W497" s="172"/>
      <c r="Y497" s="326"/>
      <c r="Z497" s="447"/>
      <c r="AA497" s="326"/>
      <c r="AB497" s="326"/>
      <c r="AC497" s="326"/>
      <c r="AD497" s="326"/>
      <c r="AE497" s="326"/>
      <c r="AF497" s="326"/>
      <c r="AG497" s="292"/>
      <c r="AI497" s="446"/>
    </row>
    <row r="498" spans="1:41" s="407" customFormat="1" x14ac:dyDescent="0.2">
      <c r="A498" s="505"/>
      <c r="B498" s="292"/>
      <c r="C498" s="292"/>
      <c r="D498" s="292"/>
      <c r="E498" s="444"/>
      <c r="F498" s="410"/>
      <c r="G498" s="410"/>
      <c r="H498" s="410"/>
      <c r="N498" s="293"/>
      <c r="V498" s="172"/>
      <c r="W498" s="172"/>
      <c r="Y498" s="326"/>
      <c r="Z498" s="447"/>
      <c r="AA498" s="326"/>
      <c r="AB498" s="326"/>
      <c r="AC498" s="326"/>
      <c r="AD498" s="326"/>
      <c r="AE498" s="326"/>
      <c r="AF498" s="326"/>
      <c r="AG498" s="292"/>
      <c r="AI498" s="446"/>
    </row>
    <row r="499" spans="1:41" s="407" customFormat="1" x14ac:dyDescent="0.2">
      <c r="A499" s="505"/>
      <c r="B499" s="292"/>
      <c r="C499" s="292"/>
      <c r="D499" s="292"/>
      <c r="E499" s="444"/>
      <c r="F499" s="410"/>
      <c r="G499" s="410"/>
      <c r="H499" s="410"/>
      <c r="N499" s="293"/>
      <c r="V499" s="172"/>
      <c r="W499" s="172"/>
      <c r="Y499" s="326"/>
      <c r="Z499" s="447"/>
      <c r="AA499" s="326"/>
      <c r="AB499" s="326"/>
      <c r="AC499" s="326"/>
      <c r="AD499" s="326"/>
      <c r="AE499" s="326"/>
      <c r="AF499" s="326"/>
      <c r="AG499" s="292"/>
      <c r="AI499" s="446"/>
    </row>
    <row r="500" spans="1:41" s="407" customFormat="1" x14ac:dyDescent="0.2">
      <c r="A500" s="505"/>
      <c r="B500" s="292"/>
      <c r="C500" s="292"/>
      <c r="D500" s="292"/>
      <c r="E500" s="444"/>
      <c r="F500" s="410"/>
      <c r="G500" s="410"/>
      <c r="H500" s="410"/>
      <c r="N500" s="293"/>
      <c r="V500" s="172"/>
      <c r="W500" s="172"/>
      <c r="Y500" s="326"/>
      <c r="Z500" s="447"/>
      <c r="AA500" s="326"/>
      <c r="AB500" s="326"/>
      <c r="AC500" s="326"/>
      <c r="AD500" s="326"/>
      <c r="AE500" s="326"/>
      <c r="AF500" s="326"/>
      <c r="AG500" s="292"/>
      <c r="AI500" s="446"/>
    </row>
    <row r="501" spans="1:41" s="407" customFormat="1" x14ac:dyDescent="0.2">
      <c r="A501" s="505"/>
      <c r="B501" s="292"/>
      <c r="C501" s="292"/>
      <c r="D501" s="292"/>
      <c r="E501" s="444"/>
      <c r="F501" s="410"/>
      <c r="G501" s="410"/>
      <c r="H501" s="410"/>
      <c r="N501" s="293"/>
      <c r="V501" s="172"/>
      <c r="W501" s="172"/>
      <c r="Y501" s="326"/>
      <c r="Z501" s="447"/>
      <c r="AA501" s="326"/>
      <c r="AB501" s="326"/>
      <c r="AC501" s="326"/>
      <c r="AD501" s="326"/>
      <c r="AE501" s="326"/>
      <c r="AF501" s="326"/>
      <c r="AG501" s="292"/>
      <c r="AI501" s="446"/>
    </row>
    <row r="502" spans="1:41" s="407" customFormat="1" x14ac:dyDescent="0.2">
      <c r="A502" s="505"/>
      <c r="B502" s="292"/>
      <c r="C502" s="292"/>
      <c r="D502" s="292"/>
      <c r="E502" s="444"/>
      <c r="F502" s="410"/>
      <c r="G502" s="410"/>
      <c r="H502" s="410"/>
      <c r="N502" s="293"/>
      <c r="V502" s="172"/>
      <c r="W502" s="172"/>
      <c r="Y502" s="326"/>
      <c r="Z502" s="447"/>
      <c r="AA502" s="326"/>
      <c r="AB502" s="326"/>
      <c r="AC502" s="326"/>
      <c r="AD502" s="326"/>
      <c r="AE502" s="326"/>
      <c r="AF502" s="326"/>
      <c r="AG502" s="292"/>
      <c r="AI502" s="446"/>
    </row>
    <row r="503" spans="1:41" s="407" customFormat="1" x14ac:dyDescent="0.2">
      <c r="A503" s="505"/>
      <c r="B503" s="292"/>
      <c r="C503" s="292"/>
      <c r="D503" s="292"/>
      <c r="E503" s="444"/>
      <c r="F503" s="410"/>
      <c r="G503" s="410"/>
      <c r="H503" s="410"/>
      <c r="N503" s="293"/>
      <c r="V503" s="172"/>
      <c r="W503" s="172"/>
      <c r="Y503" s="326"/>
      <c r="Z503" s="447"/>
      <c r="AA503" s="326"/>
      <c r="AB503" s="326"/>
      <c r="AC503" s="326"/>
      <c r="AD503" s="326"/>
      <c r="AE503" s="326"/>
      <c r="AF503" s="326"/>
      <c r="AG503" s="292"/>
      <c r="AI503" s="446"/>
    </row>
    <row r="504" spans="1:41" s="407" customFormat="1" x14ac:dyDescent="0.2">
      <c r="A504" s="505"/>
      <c r="B504" s="292"/>
      <c r="C504" s="292"/>
      <c r="D504" s="292"/>
      <c r="E504" s="444"/>
      <c r="F504" s="410"/>
      <c r="G504" s="410"/>
      <c r="H504" s="410"/>
      <c r="N504" s="293"/>
      <c r="V504" s="172"/>
      <c r="W504" s="172"/>
      <c r="Y504" s="326"/>
      <c r="Z504" s="447"/>
      <c r="AA504" s="326"/>
      <c r="AB504" s="326"/>
      <c r="AC504" s="326"/>
      <c r="AD504" s="326"/>
      <c r="AE504" s="326"/>
      <c r="AF504" s="326"/>
      <c r="AG504" s="292"/>
      <c r="AI504" s="446"/>
    </row>
    <row r="505" spans="1:41" s="407" customFormat="1" x14ac:dyDescent="0.2">
      <c r="A505" s="505"/>
      <c r="B505" s="292"/>
      <c r="C505" s="292"/>
      <c r="D505" s="292"/>
      <c r="E505" s="444"/>
      <c r="F505" s="410"/>
      <c r="G505" s="410"/>
      <c r="H505" s="410"/>
      <c r="N505" s="293"/>
      <c r="V505" s="172"/>
      <c r="W505" s="172"/>
      <c r="Y505" s="326"/>
      <c r="Z505" s="447"/>
      <c r="AA505" s="326"/>
      <c r="AB505" s="326"/>
      <c r="AC505" s="326"/>
      <c r="AD505" s="326"/>
      <c r="AE505" s="326"/>
      <c r="AF505" s="326"/>
      <c r="AG505" s="292"/>
      <c r="AI505" s="446"/>
    </row>
    <row r="506" spans="1:41" s="407" customFormat="1" x14ac:dyDescent="0.2">
      <c r="A506" s="505"/>
      <c r="B506" s="292"/>
      <c r="C506" s="292"/>
      <c r="D506" s="292"/>
      <c r="E506" s="444"/>
      <c r="F506" s="410"/>
      <c r="G506" s="410"/>
      <c r="H506" s="410"/>
      <c r="N506" s="293"/>
      <c r="V506" s="172"/>
      <c r="W506" s="172"/>
      <c r="Y506" s="326"/>
      <c r="Z506" s="447"/>
      <c r="AA506" s="326"/>
      <c r="AB506" s="326"/>
      <c r="AC506" s="326"/>
      <c r="AD506" s="326"/>
      <c r="AE506" s="326"/>
      <c r="AF506" s="326"/>
      <c r="AG506" s="292"/>
      <c r="AI506" s="446"/>
    </row>
    <row r="507" spans="1:41" s="407" customFormat="1" x14ac:dyDescent="0.2">
      <c r="A507" s="505"/>
      <c r="B507" s="292"/>
      <c r="C507" s="292"/>
      <c r="D507" s="292"/>
      <c r="E507" s="444"/>
      <c r="F507" s="410"/>
      <c r="G507" s="410"/>
      <c r="H507" s="410"/>
      <c r="N507" s="293"/>
      <c r="V507" s="172"/>
      <c r="W507" s="172"/>
      <c r="Y507" s="326"/>
      <c r="Z507" s="447"/>
      <c r="AA507" s="326"/>
      <c r="AB507" s="326"/>
      <c r="AC507" s="326"/>
      <c r="AD507" s="326"/>
      <c r="AE507" s="326"/>
      <c r="AF507" s="326"/>
      <c r="AG507" s="292"/>
      <c r="AI507" s="446"/>
    </row>
    <row r="508" spans="1:41" s="407" customFormat="1" x14ac:dyDescent="0.2">
      <c r="A508" s="505"/>
      <c r="B508" s="292"/>
      <c r="C508" s="292"/>
      <c r="D508" s="292"/>
      <c r="E508" s="444"/>
      <c r="F508" s="410"/>
      <c r="G508" s="410"/>
      <c r="H508" s="410"/>
      <c r="I508" s="448"/>
      <c r="J508" s="448"/>
      <c r="K508" s="448"/>
      <c r="L508" s="448"/>
      <c r="M508" s="448"/>
      <c r="N508" s="310"/>
      <c r="O508" s="448"/>
      <c r="P508" s="448"/>
      <c r="Q508" s="448"/>
      <c r="R508" s="448"/>
      <c r="S508" s="448"/>
      <c r="T508" s="448"/>
      <c r="U508" s="448"/>
      <c r="V508" s="172"/>
      <c r="W508" s="172"/>
      <c r="X508" s="410"/>
      <c r="Y508" s="410"/>
      <c r="Z508" s="410"/>
      <c r="AE508" s="326"/>
      <c r="AF508" s="326"/>
      <c r="AN508" s="172"/>
      <c r="AO508" s="172"/>
    </row>
    <row r="509" spans="1:41" s="407" customFormat="1" x14ac:dyDescent="0.2">
      <c r="A509" s="505"/>
      <c r="B509" s="292"/>
      <c r="C509" s="292"/>
      <c r="D509" s="449" t="s">
        <v>655</v>
      </c>
      <c r="E509" s="438" t="s">
        <v>22</v>
      </c>
      <c r="F509" s="450"/>
      <c r="G509" s="450"/>
      <c r="H509" s="450"/>
      <c r="I509" s="451"/>
      <c r="J509" s="451">
        <f>SUMIF(O5:O476,"&gt;4780",J5:J476)</f>
        <v>9980</v>
      </c>
      <c r="K509" s="451">
        <f>SUMIF(P5:P476,"&gt;4780",K5:K476)</f>
        <v>0</v>
      </c>
      <c r="L509" s="451">
        <f>SUMIF(Q5:Q476,"&gt;4780",L5:L476)</f>
        <v>0</v>
      </c>
      <c r="M509" s="451">
        <f>SUMIF(R5:R476,"&gt;4780",M5:M476)</f>
        <v>0</v>
      </c>
      <c r="N509" s="523">
        <f>SUM(J509:M509)</f>
        <v>9980</v>
      </c>
      <c r="O509" s="451"/>
      <c r="P509" s="451"/>
      <c r="Q509" s="451"/>
      <c r="R509" s="451"/>
      <c r="S509" s="451"/>
      <c r="T509" s="451"/>
      <c r="U509" s="451"/>
      <c r="V509" s="451"/>
      <c r="W509" s="451"/>
      <c r="X509" s="451"/>
      <c r="Y509" s="369"/>
      <c r="Z509" s="452"/>
      <c r="AA509" s="369"/>
      <c r="AD509" s="369"/>
      <c r="AE509" s="326"/>
      <c r="AF509" s="326"/>
      <c r="AH509" s="369"/>
      <c r="AI509" s="453"/>
    </row>
    <row r="510" spans="1:41" s="407" customFormat="1" x14ac:dyDescent="0.2">
      <c r="A510" s="505"/>
      <c r="B510" s="292"/>
      <c r="C510" s="292"/>
      <c r="D510" s="454" t="s">
        <v>714</v>
      </c>
      <c r="E510" s="455">
        <f>X8</f>
        <v>4832</v>
      </c>
      <c r="F510" s="456"/>
      <c r="G510" s="456"/>
      <c r="H510" s="456"/>
      <c r="I510" s="457"/>
      <c r="J510" s="458">
        <f>J509/J480</f>
        <v>0.37219363019318269</v>
      </c>
      <c r="K510" s="458" t="e">
        <f>K509/K480</f>
        <v>#DIV/0!</v>
      </c>
      <c r="L510" s="458" t="e">
        <f>L509/L480</f>
        <v>#DIV/0!</v>
      </c>
      <c r="M510" s="458" t="e">
        <f>M509/M480</f>
        <v>#DIV/0!</v>
      </c>
      <c r="N510" s="514">
        <f>N509/N480</f>
        <v>0.37219363019318269</v>
      </c>
      <c r="O510" s="457"/>
      <c r="P510" s="457"/>
      <c r="Q510" s="457"/>
      <c r="R510" s="457"/>
      <c r="S510" s="457"/>
      <c r="T510" s="458"/>
      <c r="U510" s="458"/>
      <c r="V510" s="458"/>
      <c r="W510" s="458"/>
      <c r="X510" s="458"/>
      <c r="Y510" s="369"/>
      <c r="Z510" s="452"/>
      <c r="AA510" s="369"/>
      <c r="AB510" s="326"/>
      <c r="AC510" s="326"/>
      <c r="AD510" s="326"/>
      <c r="AE510" s="326"/>
      <c r="AF510" s="326"/>
      <c r="AG510" s="292"/>
      <c r="AI510" s="446"/>
    </row>
    <row r="511" spans="1:41" s="407" customFormat="1" x14ac:dyDescent="0.2">
      <c r="A511" s="505"/>
      <c r="B511" s="292"/>
      <c r="C511" s="292"/>
      <c r="D511" s="292" t="s">
        <v>92</v>
      </c>
      <c r="E511" s="444"/>
      <c r="J511" s="407">
        <f>COUNT(O11:O476)</f>
        <v>441</v>
      </c>
      <c r="K511" s="407">
        <f>COUNT(P11:P476)</f>
        <v>441</v>
      </c>
      <c r="L511" s="407">
        <f>COUNT(Q11:Q476)</f>
        <v>441</v>
      </c>
      <c r="M511" s="407">
        <f>COUNT(R11:R476)</f>
        <v>441</v>
      </c>
      <c r="N511" s="293"/>
      <c r="V511" s="172"/>
      <c r="W511" s="172"/>
      <c r="Y511" s="326"/>
      <c r="Z511" s="447"/>
      <c r="AA511" s="326"/>
      <c r="AB511" s="326"/>
      <c r="AC511" s="326"/>
      <c r="AD511" s="326"/>
      <c r="AE511" s="326"/>
      <c r="AF511" s="326"/>
      <c r="AG511" s="292"/>
      <c r="AI511" s="446"/>
    </row>
    <row r="512" spans="1:41" s="407" customFormat="1" x14ac:dyDescent="0.2">
      <c r="A512" s="505"/>
      <c r="B512" s="292"/>
      <c r="C512" s="292"/>
      <c r="D512" s="292" t="s">
        <v>100</v>
      </c>
      <c r="E512" s="444"/>
      <c r="J512" s="407">
        <f>COUNT(O11:O341)</f>
        <v>310</v>
      </c>
      <c r="K512" s="407">
        <f>COUNT(P11:P341)</f>
        <v>310</v>
      </c>
      <c r="L512" s="407">
        <f>COUNT(Q11:Q341)</f>
        <v>310</v>
      </c>
      <c r="M512" s="407">
        <f>COUNT(R11:R341)</f>
        <v>310</v>
      </c>
      <c r="N512" s="293"/>
      <c r="V512" s="172"/>
      <c r="W512" s="172"/>
      <c r="Y512" s="326"/>
      <c r="Z512" s="447"/>
      <c r="AA512" s="326"/>
      <c r="AB512" s="326"/>
      <c r="AC512" s="326"/>
      <c r="AD512" s="326"/>
      <c r="AE512" s="326"/>
      <c r="AF512" s="326"/>
      <c r="AG512" s="292"/>
      <c r="AI512" s="446"/>
    </row>
    <row r="513" spans="1:38" s="407" customFormat="1" x14ac:dyDescent="0.2">
      <c r="A513" s="505"/>
      <c r="B513" s="292"/>
      <c r="C513" s="292"/>
      <c r="D513" s="292"/>
      <c r="E513" s="444"/>
      <c r="N513" s="293"/>
      <c r="V513" s="172"/>
      <c r="W513" s="172"/>
      <c r="Y513" s="326"/>
      <c r="Z513" s="447"/>
      <c r="AA513" s="326"/>
      <c r="AB513" s="326"/>
      <c r="AC513" s="326"/>
      <c r="AD513" s="326"/>
      <c r="AE513" s="326"/>
      <c r="AF513" s="326"/>
      <c r="AG513" s="292"/>
      <c r="AI513" s="446"/>
    </row>
    <row r="514" spans="1:38" s="407" customFormat="1" x14ac:dyDescent="0.2">
      <c r="A514" s="505"/>
      <c r="B514" s="292"/>
      <c r="C514" s="292"/>
      <c r="D514" s="292" t="s">
        <v>64</v>
      </c>
      <c r="E514" s="444"/>
      <c r="I514" s="369"/>
      <c r="J514" s="369">
        <f>SUMIF($I9:$I476,"=RITE",J9:J476)/J$480</f>
        <v>0.73603341538002531</v>
      </c>
      <c r="K514" s="369" t="e">
        <f>SUMIF($I9:$I476,"=RITE",K9:K476)/K$480</f>
        <v>#DIV/0!</v>
      </c>
      <c r="L514" s="369" t="e">
        <f>SUMIF($I9:$I476,"=RITE",L9:L476)/L$480</f>
        <v>#DIV/0!</v>
      </c>
      <c r="M514" s="369" t="e">
        <f>SUMIF($I9:$I476,"=RITE",M9:M476)/M$480</f>
        <v>#DIV/0!</v>
      </c>
      <c r="N514" s="380">
        <f>SUMIF($I9:$I476,"=RITE",N9:N476)/N$480</f>
        <v>0.73603341538002531</v>
      </c>
      <c r="O514" s="369"/>
      <c r="P514" s="369"/>
      <c r="Q514" s="369"/>
      <c r="S514" s="369"/>
      <c r="T514" s="369"/>
      <c r="U514" s="369"/>
      <c r="V514" s="172"/>
      <c r="W514" s="172"/>
      <c r="X514" s="369"/>
      <c r="Y514" s="326"/>
      <c r="Z514" s="447"/>
      <c r="AA514" s="326"/>
      <c r="AB514" s="326"/>
      <c r="AC514" s="326"/>
      <c r="AD514" s="326"/>
      <c r="AE514" s="326"/>
      <c r="AF514" s="326"/>
      <c r="AG514" s="292"/>
      <c r="AI514" s="446"/>
    </row>
    <row r="515" spans="1:38" s="407" customFormat="1" x14ac:dyDescent="0.2">
      <c r="A515" s="505"/>
      <c r="B515" s="292"/>
      <c r="C515" s="292"/>
      <c r="D515" s="292" t="s">
        <v>135</v>
      </c>
      <c r="E515" s="444"/>
      <c r="I515" s="369"/>
      <c r="J515" s="369">
        <f>SUMIF($I9:$I476,"=slange",J9:J476)/J$480</f>
        <v>3.7816066234056839E-2</v>
      </c>
      <c r="K515" s="369" t="e">
        <f>SUMIF($I9:$I476,"=slange",K9:K476)/K$480</f>
        <v>#DIV/0!</v>
      </c>
      <c r="L515" s="369" t="e">
        <f>SUMIF($I9:$I476,"=slange",L9:L476)/L$480</f>
        <v>#DIV/0!</v>
      </c>
      <c r="M515" s="369" t="e">
        <f>SUMIF($I9:$I476,"=slange",M9:M476)/M$480</f>
        <v>#DIV/0!</v>
      </c>
      <c r="N515" s="380">
        <f>SUMIF($I9:$I476,"=slange",N9:N476)/N$480</f>
        <v>3.7816066234056839E-2</v>
      </c>
      <c r="O515" s="369"/>
      <c r="P515" s="369"/>
      <c r="Q515" s="369"/>
      <c r="R515" s="369"/>
      <c r="S515" s="369"/>
      <c r="T515" s="369"/>
      <c r="U515" s="369"/>
      <c r="V515" s="172"/>
      <c r="W515" s="172"/>
      <c r="X515" s="369"/>
      <c r="Y515" s="326"/>
      <c r="Z515" s="447"/>
      <c r="AA515" s="326"/>
      <c r="AB515" s="326"/>
      <c r="AC515" s="326"/>
      <c r="AD515" s="326"/>
      <c r="AE515" s="326"/>
      <c r="AF515" s="326"/>
      <c r="AG515" s="292"/>
      <c r="AI515" s="446"/>
    </row>
    <row r="516" spans="1:38" s="407" customFormat="1" x14ac:dyDescent="0.2">
      <c r="A516" s="505"/>
      <c r="B516" s="292"/>
      <c r="C516" s="292"/>
      <c r="D516" s="292" t="s">
        <v>65</v>
      </c>
      <c r="E516" s="444"/>
      <c r="I516" s="369"/>
      <c r="J516" s="369">
        <f>SUMIF($I9:$I476,"=tynn",J9:J476)/J$480</f>
        <v>0</v>
      </c>
      <c r="K516" s="369" t="e">
        <f>SUMIF($I9:$I476,"=tynn",K9:K476)/K$480</f>
        <v>#DIV/0!</v>
      </c>
      <c r="L516" s="369" t="e">
        <f>SUMIF($I9:$I476,"=tynn",L9:L476)/L$480</f>
        <v>#DIV/0!</v>
      </c>
      <c r="M516" s="369" t="e">
        <f>SUMIF($I9:$I476,"=tynn",M9:M476)/M$480</f>
        <v>#DIV/0!</v>
      </c>
      <c r="N516" s="380">
        <f>SUMIF($I9:$I476,"=tynn",N9:N476)/N$480</f>
        <v>0</v>
      </c>
      <c r="O516" s="369"/>
      <c r="P516" s="369"/>
      <c r="Q516" s="369"/>
      <c r="R516" s="369"/>
      <c r="S516" s="369"/>
      <c r="T516" s="369"/>
      <c r="U516" s="369"/>
      <c r="V516" s="172"/>
      <c r="W516" s="172"/>
      <c r="X516" s="369"/>
      <c r="Y516" s="326"/>
      <c r="Z516" s="447"/>
      <c r="AA516" s="326"/>
      <c r="AB516" s="326"/>
      <c r="AC516" s="326"/>
      <c r="AD516" s="326"/>
      <c r="AE516" s="326"/>
      <c r="AF516" s="326"/>
      <c r="AG516" s="292"/>
      <c r="AI516" s="446"/>
    </row>
    <row r="517" spans="1:38" s="407" customFormat="1" x14ac:dyDescent="0.2">
      <c r="A517" s="505"/>
      <c r="B517" s="292"/>
      <c r="C517" s="292"/>
      <c r="D517" s="292" t="s">
        <v>69</v>
      </c>
      <c r="E517" s="444"/>
      <c r="I517" s="369"/>
      <c r="J517" s="369">
        <f>SUMIF($I9:$I476,"=slange og tynnsl.",J9:J476)/J$480</f>
        <v>0.13545162974565525</v>
      </c>
      <c r="K517" s="369" t="e">
        <f>SUMIF($I9:$I476,"=slange og tynnsl.",K9:K476)/K$480</f>
        <v>#DIV/0!</v>
      </c>
      <c r="L517" s="369" t="e">
        <f>SUMIF($I9:$I476,"=slange og tynnsl.",L9:L476)/L$480</f>
        <v>#DIV/0!</v>
      </c>
      <c r="M517" s="369" t="e">
        <f>SUMIF($I9:$I476,"=slange og tynnsl.",M9:M476)/M$480</f>
        <v>#DIV/0!</v>
      </c>
      <c r="N517" s="380">
        <f>SUMIF($I9:$I476,"=slange og tynnsl.",N9:N476)/N$480</f>
        <v>0.13545162974565525</v>
      </c>
      <c r="O517" s="369"/>
      <c r="P517" s="369"/>
      <c r="Q517" s="369"/>
      <c r="R517" s="369"/>
      <c r="S517" s="369"/>
      <c r="T517" s="369"/>
      <c r="U517" s="369"/>
      <c r="V517" s="172"/>
      <c r="W517" s="172"/>
      <c r="X517" s="369"/>
      <c r="Y517" s="326"/>
      <c r="Z517" s="447"/>
      <c r="AA517" s="326"/>
      <c r="AB517" s="326"/>
      <c r="AC517" s="326"/>
      <c r="AD517" s="326"/>
      <c r="AE517" s="326"/>
      <c r="AF517" s="326"/>
      <c r="AG517" s="292"/>
      <c r="AI517" s="446"/>
    </row>
    <row r="518" spans="1:38" s="407" customFormat="1" x14ac:dyDescent="0.2">
      <c r="A518" s="505"/>
      <c r="B518" s="292"/>
      <c r="C518" s="292"/>
      <c r="D518" s="292" t="s">
        <v>136</v>
      </c>
      <c r="E518" s="444"/>
      <c r="I518" s="369"/>
      <c r="J518" s="369">
        <f>SUMIF($I9:$I476,"=x",J9:J476)/J$480</f>
        <v>9.0698888640262543E-2</v>
      </c>
      <c r="K518" s="369" t="e">
        <f>SUMIF($I9:$I476,"=x",K9:K476)/K$480</f>
        <v>#DIV/0!</v>
      </c>
      <c r="L518" s="369" t="e">
        <f>SUMIF($I9:$I476,"=x",L9:L476)/L$480</f>
        <v>#DIV/0!</v>
      </c>
      <c r="M518" s="369" t="e">
        <f>SUMIF($I9:$I476,"=x",M9:M476)/M$480</f>
        <v>#DIV/0!</v>
      </c>
      <c r="N518" s="380">
        <f>SUMIF($I9:$I476,"=x",N9:N476)/N$480</f>
        <v>9.0698888640262543E-2</v>
      </c>
      <c r="O518" s="369"/>
      <c r="P518" s="369"/>
      <c r="Q518" s="369"/>
      <c r="R518" s="369"/>
      <c r="S518" s="369"/>
      <c r="T518" s="369"/>
      <c r="U518" s="369"/>
      <c r="V518" s="172"/>
      <c r="W518" s="172"/>
      <c r="X518" s="369"/>
      <c r="Y518" s="326"/>
      <c r="Z518" s="447"/>
      <c r="AA518" s="326"/>
      <c r="AB518" s="326"/>
      <c r="AC518" s="326"/>
      <c r="AD518" s="326"/>
      <c r="AE518" s="326"/>
      <c r="AF518" s="326"/>
      <c r="AG518" s="292"/>
      <c r="AI518" s="446"/>
    </row>
    <row r="519" spans="1:38" s="407" customFormat="1" x14ac:dyDescent="0.2">
      <c r="A519" s="505"/>
      <c r="B519" s="292"/>
      <c r="C519" s="292"/>
      <c r="D519" s="292"/>
      <c r="E519" s="444"/>
      <c r="I519" s="369"/>
      <c r="J519" s="515">
        <f>SUM(J514:J518)</f>
        <v>1</v>
      </c>
      <c r="K519" s="515" t="e">
        <f>SUM(K514:K518)</f>
        <v>#DIV/0!</v>
      </c>
      <c r="L519" s="515" t="e">
        <f>SUM(L514:L518)</f>
        <v>#DIV/0!</v>
      </c>
      <c r="M519" s="515" t="e">
        <f>SUM(M514:M518)</f>
        <v>#DIV/0!</v>
      </c>
      <c r="N519" s="572">
        <f>SUM(N514:N518)</f>
        <v>1</v>
      </c>
      <c r="O519" s="369"/>
      <c r="P519" s="369"/>
      <c r="Q519" s="369"/>
      <c r="R519" s="369"/>
      <c r="S519" s="369"/>
      <c r="T519" s="369"/>
      <c r="U519" s="369"/>
      <c r="V519" s="172"/>
      <c r="W519" s="172"/>
      <c r="X519" s="369"/>
      <c r="Y519" s="326"/>
      <c r="Z519" s="447"/>
      <c r="AA519" s="326"/>
      <c r="AB519" s="326"/>
      <c r="AC519" s="326"/>
      <c r="AD519" s="326"/>
      <c r="AE519" s="326"/>
      <c r="AF519" s="326"/>
      <c r="AG519" s="292"/>
      <c r="AI519" s="446"/>
    </row>
    <row r="520" spans="1:38" s="291" customFormat="1" x14ac:dyDescent="0.2">
      <c r="A520" s="505"/>
      <c r="B520" s="292"/>
      <c r="C520" s="292"/>
      <c r="D520" s="292"/>
      <c r="E520" s="444"/>
      <c r="F520" s="410"/>
      <c r="G520" s="410"/>
      <c r="H520" s="410"/>
      <c r="I520" s="407"/>
      <c r="J520" s="407"/>
      <c r="K520" s="407"/>
      <c r="L520" s="407"/>
      <c r="M520" s="407"/>
      <c r="N520" s="293"/>
      <c r="O520" s="407"/>
      <c r="P520" s="407"/>
      <c r="Q520" s="407"/>
      <c r="R520" s="407"/>
      <c r="S520" s="407"/>
      <c r="T520" s="407"/>
      <c r="U520" s="407"/>
      <c r="V520" s="172"/>
      <c r="W520" s="172"/>
      <c r="X520" s="407"/>
      <c r="Y520" s="326"/>
      <c r="Z520" s="447"/>
      <c r="AA520" s="326"/>
      <c r="AB520" s="326"/>
      <c r="AC520" s="326"/>
      <c r="AD520" s="326"/>
      <c r="AE520" s="326"/>
      <c r="AF520" s="326"/>
      <c r="AG520" s="292"/>
      <c r="AI520" s="434"/>
      <c r="AJ520" s="407"/>
      <c r="AK520" s="407"/>
      <c r="AL520" s="407"/>
    </row>
    <row r="521" spans="1:38" s="291" customFormat="1" x14ac:dyDescent="0.2">
      <c r="A521" s="505"/>
      <c r="B521" s="292"/>
      <c r="C521" s="292"/>
      <c r="D521" s="292"/>
      <c r="E521" s="444"/>
      <c r="F521" s="410"/>
      <c r="G521" s="410"/>
      <c r="H521" s="410"/>
      <c r="I521" s="407"/>
      <c r="J521" s="407"/>
      <c r="K521" s="407"/>
      <c r="L521" s="407"/>
      <c r="M521" s="407"/>
      <c r="N521" s="293"/>
      <c r="O521" s="407"/>
      <c r="P521" s="407"/>
      <c r="Q521" s="407"/>
      <c r="R521" s="407"/>
      <c r="S521" s="407"/>
      <c r="T521" s="407"/>
      <c r="U521" s="407"/>
      <c r="V521" s="172"/>
      <c r="W521" s="172"/>
      <c r="X521" s="407"/>
      <c r="Y521" s="326"/>
      <c r="Z521" s="447"/>
      <c r="AA521" s="326"/>
      <c r="AB521" s="326"/>
      <c r="AC521" s="326"/>
      <c r="AD521" s="326"/>
      <c r="AE521" s="326"/>
      <c r="AF521" s="326"/>
      <c r="AG521" s="292"/>
      <c r="AI521" s="434"/>
      <c r="AJ521" s="407"/>
      <c r="AK521" s="407"/>
      <c r="AL521" s="407"/>
    </row>
    <row r="522" spans="1:38" s="291" customFormat="1" x14ac:dyDescent="0.2">
      <c r="A522" s="505"/>
      <c r="B522" s="292"/>
      <c r="C522" s="292"/>
      <c r="D522" s="292"/>
      <c r="E522" s="444"/>
      <c r="F522" s="410"/>
      <c r="G522" s="410"/>
      <c r="H522" s="410"/>
      <c r="I522" s="407"/>
      <c r="J522" s="407"/>
      <c r="K522" s="407"/>
      <c r="L522" s="407"/>
      <c r="M522" s="407"/>
      <c r="N522" s="293"/>
      <c r="O522" s="407"/>
      <c r="P522" s="407"/>
      <c r="Q522" s="407"/>
      <c r="R522" s="407"/>
      <c r="S522" s="407"/>
      <c r="T522" s="407"/>
      <c r="U522" s="407"/>
      <c r="V522" s="172"/>
      <c r="W522" s="172"/>
      <c r="X522" s="407"/>
      <c r="Y522" s="326"/>
      <c r="Z522" s="447"/>
      <c r="AA522" s="326"/>
      <c r="AB522" s="326"/>
      <c r="AC522" s="326"/>
      <c r="AD522" s="326"/>
      <c r="AE522" s="326"/>
      <c r="AF522" s="326"/>
      <c r="AG522" s="292"/>
      <c r="AI522" s="434"/>
      <c r="AJ522" s="407"/>
      <c r="AK522" s="407"/>
      <c r="AL522" s="407"/>
    </row>
    <row r="523" spans="1:38" s="291" customFormat="1" x14ac:dyDescent="0.2">
      <c r="A523" s="505"/>
      <c r="B523" s="292"/>
      <c r="C523" s="292"/>
      <c r="D523" s="292"/>
      <c r="E523" s="444"/>
      <c r="F523" s="410"/>
      <c r="G523" s="410"/>
      <c r="H523" s="410"/>
      <c r="I523" s="407"/>
      <c r="J523" s="407"/>
      <c r="K523" s="407"/>
      <c r="L523" s="407"/>
      <c r="M523" s="407"/>
      <c r="N523" s="293"/>
      <c r="O523" s="407"/>
      <c r="P523" s="407"/>
      <c r="Q523" s="407"/>
      <c r="R523" s="407"/>
      <c r="S523" s="407"/>
      <c r="T523" s="407"/>
      <c r="U523" s="407"/>
      <c r="V523" s="172"/>
      <c r="W523" s="172"/>
      <c r="X523" s="407"/>
      <c r="Y523" s="326"/>
      <c r="Z523" s="447"/>
      <c r="AA523" s="326"/>
      <c r="AB523" s="326"/>
      <c r="AC523" s="326"/>
      <c r="AD523" s="326"/>
      <c r="AE523" s="326"/>
      <c r="AF523" s="326"/>
      <c r="AG523" s="292"/>
      <c r="AI523" s="434"/>
      <c r="AJ523" s="407"/>
      <c r="AK523" s="407"/>
      <c r="AL523" s="407"/>
    </row>
    <row r="524" spans="1:38" s="291" customFormat="1" x14ac:dyDescent="0.2">
      <c r="A524" s="505"/>
      <c r="B524" s="292"/>
      <c r="C524" s="292"/>
      <c r="D524" s="292"/>
      <c r="E524" s="444"/>
      <c r="F524" s="410"/>
      <c r="G524" s="410"/>
      <c r="H524" s="410"/>
      <c r="I524" s="407"/>
      <c r="J524" s="407"/>
      <c r="K524" s="407"/>
      <c r="L524" s="407"/>
      <c r="M524" s="407"/>
      <c r="N524" s="293"/>
      <c r="O524" s="407"/>
      <c r="P524" s="407"/>
      <c r="Q524" s="407"/>
      <c r="R524" s="407"/>
      <c r="S524" s="407"/>
      <c r="T524" s="407"/>
      <c r="U524" s="407"/>
      <c r="V524" s="172"/>
      <c r="W524" s="172"/>
      <c r="X524" s="407"/>
      <c r="Y524" s="326"/>
      <c r="Z524" s="447"/>
      <c r="AA524" s="326"/>
      <c r="AB524" s="326"/>
      <c r="AC524" s="326"/>
      <c r="AD524" s="326"/>
      <c r="AE524" s="326"/>
      <c r="AF524" s="326"/>
      <c r="AG524" s="292"/>
      <c r="AI524" s="434"/>
      <c r="AJ524" s="407"/>
      <c r="AK524" s="407"/>
      <c r="AL524" s="407"/>
    </row>
    <row r="525" spans="1:38" s="291" customFormat="1" x14ac:dyDescent="0.2">
      <c r="A525" s="505"/>
      <c r="E525" s="435"/>
      <c r="F525" s="290"/>
      <c r="G525" s="290"/>
      <c r="H525" s="290"/>
      <c r="N525" s="293"/>
      <c r="V525" s="172"/>
      <c r="W525" s="172"/>
      <c r="Z525" s="290"/>
      <c r="AG525" s="292"/>
      <c r="AI525" s="434"/>
      <c r="AJ525" s="407"/>
      <c r="AK525" s="407"/>
      <c r="AL525" s="407"/>
    </row>
    <row r="526" spans="1:38" s="291" customFormat="1" x14ac:dyDescent="0.2">
      <c r="A526" s="506"/>
      <c r="E526" s="435"/>
      <c r="F526" s="290"/>
      <c r="G526" s="290"/>
      <c r="H526" s="290"/>
      <c r="N526" s="293"/>
      <c r="V526" s="172"/>
      <c r="W526" s="172"/>
      <c r="Z526" s="290"/>
      <c r="AG526" s="292"/>
      <c r="AI526" s="434"/>
      <c r="AJ526" s="407"/>
      <c r="AK526" s="407"/>
      <c r="AL526" s="407"/>
    </row>
    <row r="527" spans="1:38" s="291" customFormat="1" x14ac:dyDescent="0.2">
      <c r="A527" s="506"/>
      <c r="E527" s="435"/>
      <c r="F527" s="290"/>
      <c r="G527" s="290"/>
      <c r="H527" s="290"/>
      <c r="N527" s="293"/>
      <c r="V527" s="172"/>
      <c r="W527" s="172"/>
      <c r="Z527" s="290"/>
      <c r="AG527" s="292"/>
      <c r="AI527" s="434"/>
      <c r="AJ527" s="407"/>
      <c r="AK527" s="407"/>
      <c r="AL527" s="407"/>
    </row>
    <row r="528" spans="1:38" s="291" customFormat="1" x14ac:dyDescent="0.2">
      <c r="A528" s="506"/>
      <c r="E528" s="435"/>
      <c r="F528" s="290"/>
      <c r="G528" s="290"/>
      <c r="H528" s="290"/>
      <c r="N528" s="293"/>
      <c r="V528" s="172"/>
      <c r="W528" s="172"/>
      <c r="Z528" s="290"/>
      <c r="AG528" s="292"/>
      <c r="AI528" s="434"/>
      <c r="AJ528" s="407"/>
      <c r="AK528" s="407"/>
      <c r="AL528" s="407"/>
    </row>
    <row r="529" spans="1:38" s="291" customFormat="1" x14ac:dyDescent="0.2">
      <c r="A529" s="506"/>
      <c r="E529" s="435"/>
      <c r="F529" s="290"/>
      <c r="G529" s="290"/>
      <c r="H529" s="290"/>
      <c r="J529" s="291" t="s">
        <v>1031</v>
      </c>
      <c r="N529" s="293"/>
      <c r="V529" s="172"/>
      <c r="W529" s="172"/>
      <c r="Z529" s="290"/>
      <c r="AG529" s="292"/>
      <c r="AI529" s="434"/>
      <c r="AJ529" s="407"/>
      <c r="AK529" s="407"/>
      <c r="AL529" s="407"/>
    </row>
    <row r="530" spans="1:38" s="291" customFormat="1" x14ac:dyDescent="0.2">
      <c r="A530" s="506"/>
      <c r="E530" s="435"/>
      <c r="F530" s="290"/>
      <c r="G530" s="290"/>
      <c r="H530" s="290"/>
      <c r="N530" s="293"/>
      <c r="V530" s="172"/>
      <c r="W530" s="172"/>
      <c r="Z530" s="290"/>
      <c r="AG530" s="292"/>
      <c r="AI530" s="434"/>
      <c r="AJ530" s="407"/>
      <c r="AK530" s="407"/>
      <c r="AL530" s="407"/>
    </row>
    <row r="531" spans="1:38" s="291" customFormat="1" x14ac:dyDescent="0.2">
      <c r="A531" s="506"/>
      <c r="E531" s="435"/>
      <c r="F531" s="290"/>
      <c r="G531" s="290"/>
      <c r="H531" s="290"/>
      <c r="N531" s="293"/>
      <c r="V531" s="172"/>
      <c r="W531" s="172"/>
      <c r="Z531" s="290"/>
      <c r="AG531" s="292"/>
      <c r="AI531" s="434"/>
      <c r="AJ531" s="407"/>
      <c r="AK531" s="407"/>
      <c r="AL531" s="407"/>
    </row>
    <row r="532" spans="1:38" s="291" customFormat="1" x14ac:dyDescent="0.2">
      <c r="A532" s="506"/>
      <c r="E532" s="435"/>
      <c r="F532" s="290"/>
      <c r="G532" s="290"/>
      <c r="H532" s="290"/>
      <c r="N532" s="293"/>
      <c r="V532" s="172"/>
      <c r="W532" s="172"/>
      <c r="Z532" s="290"/>
      <c r="AG532" s="292"/>
      <c r="AI532" s="434"/>
      <c r="AJ532" s="407"/>
      <c r="AK532" s="407"/>
      <c r="AL532" s="407"/>
    </row>
    <row r="533" spans="1:38" s="291" customFormat="1" x14ac:dyDescent="0.2">
      <c r="A533" s="506"/>
      <c r="E533" s="435"/>
      <c r="F533" s="290"/>
      <c r="G533" s="290"/>
      <c r="H533" s="290"/>
      <c r="N533" s="293"/>
      <c r="V533" s="172"/>
      <c r="W533" s="172"/>
      <c r="Z533" s="290"/>
      <c r="AG533" s="292"/>
      <c r="AI533" s="434"/>
      <c r="AJ533" s="407"/>
      <c r="AK533" s="407"/>
      <c r="AL533" s="407"/>
    </row>
    <row r="534" spans="1:38" s="291" customFormat="1" x14ac:dyDescent="0.2">
      <c r="A534" s="506"/>
      <c r="E534" s="435"/>
      <c r="F534" s="290"/>
      <c r="G534" s="290"/>
      <c r="H534" s="290"/>
      <c r="N534" s="293"/>
      <c r="V534" s="172"/>
      <c r="W534" s="172"/>
      <c r="Z534" s="290"/>
      <c r="AG534" s="292"/>
      <c r="AI534" s="434"/>
      <c r="AJ534" s="407"/>
      <c r="AK534" s="407"/>
      <c r="AL534" s="407"/>
    </row>
    <row r="535" spans="1:38" s="407" customFormat="1" x14ac:dyDescent="0.2">
      <c r="A535" s="506"/>
      <c r="B535" s="291"/>
      <c r="C535" s="291"/>
      <c r="D535" s="291"/>
      <c r="E535" s="435"/>
      <c r="F535" s="290"/>
      <c r="G535" s="290"/>
      <c r="H535" s="290"/>
      <c r="I535" s="291"/>
      <c r="J535" s="291"/>
      <c r="K535" s="291"/>
      <c r="L535" s="291"/>
      <c r="M535" s="291"/>
      <c r="N535" s="293"/>
      <c r="O535" s="291"/>
      <c r="P535" s="291"/>
      <c r="Q535" s="291"/>
      <c r="R535" s="291"/>
      <c r="S535" s="291"/>
      <c r="T535" s="291"/>
      <c r="U535" s="291"/>
      <c r="V535" s="172"/>
      <c r="W535" s="172"/>
      <c r="X535" s="291"/>
      <c r="Y535" s="291"/>
      <c r="Z535" s="290"/>
      <c r="AA535" s="291"/>
      <c r="AB535" s="291"/>
      <c r="AC535" s="291"/>
      <c r="AD535" s="291"/>
      <c r="AE535" s="291"/>
      <c r="AF535" s="291"/>
      <c r="AG535" s="292"/>
      <c r="AH535" s="291"/>
      <c r="AI535" s="434"/>
    </row>
    <row r="536" spans="1:38" s="407" customFormat="1" x14ac:dyDescent="0.2">
      <c r="A536" s="506"/>
      <c r="B536" s="291"/>
      <c r="C536" s="291"/>
      <c r="D536" s="291"/>
      <c r="E536" s="435"/>
      <c r="F536" s="290"/>
      <c r="G536" s="290"/>
      <c r="H536" s="290"/>
      <c r="I536" s="291"/>
      <c r="J536" s="291"/>
      <c r="K536" s="291"/>
      <c r="L536" s="291"/>
      <c r="M536" s="291"/>
      <c r="N536" s="293"/>
      <c r="O536" s="291"/>
      <c r="P536" s="291"/>
      <c r="Q536" s="291"/>
      <c r="R536" s="291"/>
      <c r="S536" s="291"/>
      <c r="T536" s="291"/>
      <c r="U536" s="291"/>
      <c r="V536" s="172"/>
      <c r="W536" s="172"/>
      <c r="X536" s="291"/>
      <c r="Y536" s="291"/>
      <c r="Z536" s="290"/>
      <c r="AA536" s="291"/>
      <c r="AB536" s="291"/>
      <c r="AC536" s="291"/>
      <c r="AD536" s="291"/>
      <c r="AE536" s="291"/>
      <c r="AF536" s="291"/>
      <c r="AG536" s="292"/>
      <c r="AH536" s="291"/>
      <c r="AI536" s="434"/>
    </row>
    <row r="537" spans="1:38" s="407" customFormat="1" x14ac:dyDescent="0.2">
      <c r="A537" s="506"/>
      <c r="B537" s="291"/>
      <c r="C537" s="291"/>
      <c r="D537" s="291"/>
      <c r="E537" s="435"/>
      <c r="F537" s="290"/>
      <c r="G537" s="290"/>
      <c r="H537" s="290"/>
      <c r="I537" s="291"/>
      <c r="J537" s="291"/>
      <c r="K537" s="291"/>
      <c r="L537" s="291"/>
      <c r="M537" s="291"/>
      <c r="N537" s="293"/>
      <c r="O537" s="291"/>
      <c r="P537" s="291"/>
      <c r="Q537" s="291"/>
      <c r="R537" s="291"/>
      <c r="S537" s="291"/>
      <c r="T537" s="291"/>
      <c r="U537" s="291"/>
      <c r="V537" s="172"/>
      <c r="W537" s="172"/>
      <c r="X537" s="291"/>
      <c r="Y537" s="291"/>
      <c r="Z537" s="290"/>
      <c r="AA537" s="291"/>
      <c r="AB537" s="291"/>
      <c r="AC537" s="291"/>
      <c r="AD537" s="291"/>
      <c r="AE537" s="291"/>
      <c r="AF537" s="291"/>
      <c r="AG537" s="292"/>
      <c r="AH537" s="291"/>
      <c r="AI537" s="434"/>
    </row>
    <row r="538" spans="1:38" s="407" customFormat="1" x14ac:dyDescent="0.2">
      <c r="A538" s="506"/>
      <c r="B538" s="291"/>
      <c r="C538" s="291"/>
      <c r="D538" s="291"/>
      <c r="E538" s="435"/>
      <c r="F538" s="290"/>
      <c r="G538" s="290"/>
      <c r="H538" s="290"/>
      <c r="I538" s="291"/>
      <c r="J538" s="291"/>
      <c r="K538" s="291"/>
      <c r="L538" s="291"/>
      <c r="M538" s="291"/>
      <c r="N538" s="293"/>
      <c r="O538" s="291" t="s">
        <v>473</v>
      </c>
      <c r="P538" s="291" t="s">
        <v>473</v>
      </c>
      <c r="Q538" s="291" t="s">
        <v>473</v>
      </c>
      <c r="R538" s="291" t="s">
        <v>473</v>
      </c>
      <c r="S538" s="291"/>
      <c r="T538" s="291"/>
      <c r="U538" s="291"/>
      <c r="V538" s="172"/>
      <c r="W538" s="172"/>
      <c r="X538" s="291"/>
      <c r="Y538" s="291"/>
      <c r="Z538" s="290"/>
      <c r="AA538" s="291"/>
      <c r="AB538" s="291"/>
      <c r="AC538" s="291"/>
      <c r="AD538" s="291"/>
      <c r="AE538" s="291"/>
      <c r="AF538" s="291"/>
      <c r="AG538" s="292"/>
      <c r="AH538" s="291"/>
      <c r="AI538" s="434"/>
    </row>
    <row r="539" spans="1:38" s="407" customFormat="1" x14ac:dyDescent="0.2">
      <c r="A539" s="506"/>
      <c r="B539" s="291"/>
      <c r="C539" s="291"/>
      <c r="D539" s="291"/>
      <c r="E539" s="435"/>
      <c r="F539" s="290"/>
      <c r="G539" s="290"/>
      <c r="H539" s="290"/>
      <c r="I539" s="291"/>
      <c r="J539" s="291"/>
      <c r="K539" s="291"/>
      <c r="L539" s="291"/>
      <c r="M539" s="291"/>
      <c r="N539" s="293"/>
      <c r="O539" s="291" t="s">
        <v>14</v>
      </c>
      <c r="P539" s="291" t="s">
        <v>14</v>
      </c>
      <c r="Q539" s="291" t="s">
        <v>14</v>
      </c>
      <c r="R539" s="291" t="s">
        <v>14</v>
      </c>
      <c r="S539" s="291"/>
      <c r="T539" s="291"/>
      <c r="U539" s="291"/>
      <c r="V539" s="172"/>
      <c r="W539" s="172"/>
      <c r="X539" s="291"/>
      <c r="Z539" s="410" t="s">
        <v>471</v>
      </c>
      <c r="AA539" s="459" t="s">
        <v>472</v>
      </c>
      <c r="AB539" s="291"/>
      <c r="AC539" s="291"/>
      <c r="AD539" s="291"/>
      <c r="AE539" s="291"/>
      <c r="AF539" s="291"/>
      <c r="AI539" s="446"/>
    </row>
    <row r="540" spans="1:38" s="407" customFormat="1" x14ac:dyDescent="0.2">
      <c r="A540" s="506"/>
      <c r="B540" s="292"/>
      <c r="C540" s="292"/>
      <c r="D540" s="292"/>
      <c r="E540" s="444"/>
      <c r="F540" s="410"/>
      <c r="G540" s="410"/>
      <c r="H540" s="410"/>
      <c r="N540" s="293"/>
      <c r="O540" s="407" t="s">
        <v>87</v>
      </c>
      <c r="P540" s="407" t="s">
        <v>87</v>
      </c>
      <c r="Q540" s="407" t="s">
        <v>87</v>
      </c>
      <c r="R540" s="407">
        <v>2018</v>
      </c>
      <c r="V540" s="172"/>
      <c r="W540" s="172"/>
      <c r="Z540" s="410"/>
      <c r="AA540" s="459" t="s">
        <v>87</v>
      </c>
      <c r="AB540" s="326"/>
      <c r="AC540" s="326"/>
      <c r="AD540" s="326"/>
      <c r="AE540" s="326"/>
      <c r="AF540" s="326"/>
      <c r="AI540" s="446"/>
    </row>
    <row r="541" spans="1:38" s="407" customFormat="1" x14ac:dyDescent="0.2">
      <c r="A541" s="507"/>
      <c r="B541" s="292"/>
      <c r="C541" s="292"/>
      <c r="D541" s="292"/>
      <c r="E541" s="444"/>
      <c r="F541" s="292" t="s">
        <v>792</v>
      </c>
      <c r="G541" s="460"/>
      <c r="H541" s="410"/>
      <c r="J541" s="407">
        <f>SUMIF($F$1:$F$481,"=Widex Norge AS",J$1:J$481)</f>
        <v>4863</v>
      </c>
      <c r="K541" s="407">
        <f>SUMIF($F$1:$F$481,"=Widex Norge AS",K$1:K$481)</f>
        <v>0</v>
      </c>
      <c r="L541" s="407">
        <f>SUMIF($F$1:$F$481,"=Widex Norge AS",L$1:L$481)</f>
        <v>0</v>
      </c>
      <c r="M541" s="407">
        <f>SUMIF($F$1:$F$481,"=Widex Norge AS",M$1:M$481)</f>
        <v>0</v>
      </c>
      <c r="N541" s="293">
        <f>SUMIF($F$1:$F$481,"=Widex Norge AS",N$1:N$481)</f>
        <v>4863</v>
      </c>
      <c r="O541" s="369">
        <f t="shared" ref="O541:Q547" si="998">J541/J$480</f>
        <v>0.18136048332960394</v>
      </c>
      <c r="P541" s="369" t="e">
        <f t="shared" si="998"/>
        <v>#DIV/0!</v>
      </c>
      <c r="Q541" s="369" t="e">
        <f t="shared" si="998"/>
        <v>#DIV/0!</v>
      </c>
      <c r="R541" s="369">
        <f t="shared" ref="R541:R547" si="999">N541/N$480</f>
        <v>0.18136048332960394</v>
      </c>
      <c r="S541" s="448">
        <f>SUMIF($F$9:$F$476,"=Widex Norge AS",S$9:S$476)</f>
        <v>23101069</v>
      </c>
      <c r="T541" s="448">
        <f>SUMIF($F$9:$F$476,"=Widex Norge AS",T$9:T$476)</f>
        <v>22984268</v>
      </c>
      <c r="U541" s="448">
        <f>SUMIF($F$9:$F$476,"=Widex Norge AS",U$9:U$476)</f>
        <v>0</v>
      </c>
      <c r="V541" s="448">
        <f>SUMIF($F$9:$F$476,"=Widex Norge AS",V$9:V$476)</f>
        <v>0</v>
      </c>
      <c r="W541" s="448">
        <f>SUMIF($F$9:$F$476,"=Widex Norge AS",W$9:W$476)</f>
        <v>0</v>
      </c>
      <c r="X541" s="448">
        <f t="shared" ref="X541:X547" si="1000">SUM(T541:W541)</f>
        <v>22984268</v>
      </c>
      <c r="Y541" s="461"/>
      <c r="Z541" s="452">
        <f t="shared" ref="Z541:Z547" si="1001">S541/S$480</f>
        <v>0.18367218833393054</v>
      </c>
      <c r="AA541" s="462">
        <f>T541/T$480</f>
        <v>0.18324445302332004</v>
      </c>
      <c r="AB541" s="463"/>
      <c r="AC541" s="463"/>
      <c r="AD541" s="463"/>
      <c r="AE541" s="463"/>
      <c r="AF541" s="463"/>
      <c r="AG541" s="463"/>
      <c r="AH541" s="369"/>
      <c r="AI541" s="453"/>
    </row>
    <row r="542" spans="1:38" s="407" customFormat="1" x14ac:dyDescent="0.2">
      <c r="A542" s="507"/>
      <c r="B542" s="292"/>
      <c r="C542" s="292"/>
      <c r="D542" s="292"/>
      <c r="E542" s="444"/>
      <c r="F542" s="292" t="s">
        <v>817</v>
      </c>
      <c r="G542" s="460"/>
      <c r="H542" s="410"/>
      <c r="J542" s="407">
        <f>SUMIF($F$1:$F$481,"=GN Hearing Norway AS",J$1:J$481)</f>
        <v>5506</v>
      </c>
      <c r="K542" s="407">
        <f>SUMIF($F$1:$F$481,"=GN Hearing Norway AS",K$1:K$481)</f>
        <v>0</v>
      </c>
      <c r="L542" s="407">
        <f>SUMIF($F$1:$F$481,"=GN Hearing Norway AS",L$1:L$481)</f>
        <v>0</v>
      </c>
      <c r="M542" s="407">
        <f>SUMIF($F$1:$F$481,"=GN Hearing Norway AS",M$1:M$481)</f>
        <v>0</v>
      </c>
      <c r="N542" s="293">
        <f>SUMIF($F$1:$F$481,"=GN Hearing Norway AS",N$1:N$481)</f>
        <v>5506</v>
      </c>
      <c r="O542" s="369">
        <f t="shared" si="998"/>
        <v>0.20534049377191019</v>
      </c>
      <c r="P542" s="369" t="e">
        <f t="shared" si="998"/>
        <v>#DIV/0!</v>
      </c>
      <c r="Q542" s="369" t="e">
        <f t="shared" si="998"/>
        <v>#DIV/0!</v>
      </c>
      <c r="R542" s="369">
        <f t="shared" si="999"/>
        <v>0.20534049377191019</v>
      </c>
      <c r="S542" s="448">
        <f>SUMIF($F$9:$F$476,"=GN Hearing Norway AS",S$9:S$476)</f>
        <v>26229355</v>
      </c>
      <c r="T542" s="448">
        <f>SUMIF($F$9:$F$476,"=GN Hearing Norway AS",T$9:T$476)</f>
        <v>26118061</v>
      </c>
      <c r="U542" s="448">
        <f>SUMIF($F$9:$F$476,"=GN Hearing Norway AS",U$9:U$476)</f>
        <v>0</v>
      </c>
      <c r="V542" s="448">
        <f>SUMIF($F$9:$F$476,"=GN Hearing Norway AS",V$9:V$476)</f>
        <v>0</v>
      </c>
      <c r="W542" s="448">
        <f>SUMIF($F$9:$F$476,"=GN Hearing Norway AS",W$9:W$476)</f>
        <v>0</v>
      </c>
      <c r="X542" s="448">
        <f t="shared" si="1000"/>
        <v>26118061</v>
      </c>
      <c r="Y542" s="461"/>
      <c r="Z542" s="452">
        <f t="shared" si="1001"/>
        <v>0.20854459295530967</v>
      </c>
      <c r="AA542" s="462">
        <f>T542/T$480</f>
        <v>0.20822894172547532</v>
      </c>
      <c r="AB542" s="463"/>
      <c r="AC542" s="463"/>
      <c r="AD542" s="463"/>
      <c r="AE542" s="463"/>
      <c r="AF542" s="463"/>
      <c r="AG542" s="463"/>
      <c r="AH542" s="369"/>
      <c r="AI542" s="453"/>
    </row>
    <row r="543" spans="1:38" s="407" customFormat="1" x14ac:dyDescent="0.2">
      <c r="A543" s="507"/>
      <c r="B543" s="292"/>
      <c r="C543" s="292"/>
      <c r="D543" s="292"/>
      <c r="E543" s="444"/>
      <c r="F543" s="292" t="s">
        <v>151</v>
      </c>
      <c r="G543" s="460"/>
      <c r="H543" s="410"/>
      <c r="J543" s="407">
        <f>SUMIF($F$1:$F$481,"=Sivantos AS",J$1:J$481)</f>
        <v>5696</v>
      </c>
      <c r="K543" s="407">
        <f>SUMIF($F$1:$F$481,"=Sivantos AS",K$1:K$481)</f>
        <v>0</v>
      </c>
      <c r="L543" s="407">
        <f>SUMIF($F$1:$F$481,"=Sivantos AS",L$1:L$481)</f>
        <v>0</v>
      </c>
      <c r="M543" s="407">
        <f>SUMIF($F$1:$F$481,"=Sivantos AS",M$1:M$481)</f>
        <v>0</v>
      </c>
      <c r="N543" s="293">
        <f>SUMIF($F$1:$F$481,"=Sivantos AS",N$1:N$481)</f>
        <v>5696</v>
      </c>
      <c r="O543" s="369">
        <f t="shared" si="998"/>
        <v>0.2124263444469307</v>
      </c>
      <c r="P543" s="369" t="e">
        <f t="shared" si="998"/>
        <v>#DIV/0!</v>
      </c>
      <c r="Q543" s="369" t="e">
        <f t="shared" si="998"/>
        <v>#DIV/0!</v>
      </c>
      <c r="R543" s="369">
        <f t="shared" si="999"/>
        <v>0.2124263444469307</v>
      </c>
      <c r="S543" s="448">
        <f>SUMIF($F$9:$F$476,"=Sivantos AS",S$9:S$476)</f>
        <v>27117506</v>
      </c>
      <c r="T543" s="448">
        <f>SUMIF($F$9:$F$476,"=Sivantos AS",T$9:T$476)</f>
        <v>27117506</v>
      </c>
      <c r="U543" s="448">
        <f>SUMIF($F$9:$F$476,"=Sivantos AS",U$9:U$476)</f>
        <v>0</v>
      </c>
      <c r="V543" s="448">
        <f>SUMIF($F$9:$F$476,"=Sivantos AS",V$9:V$476)</f>
        <v>0</v>
      </c>
      <c r="W543" s="448">
        <f>SUMIF($F$9:$F$476,"=Sivantos AS",W$9:W$476)</f>
        <v>0</v>
      </c>
      <c r="X543" s="448">
        <f t="shared" si="1000"/>
        <v>27117506</v>
      </c>
      <c r="Y543" s="461"/>
      <c r="Z543" s="452">
        <f t="shared" si="1001"/>
        <v>0.21560611195864968</v>
      </c>
      <c r="AA543" s="462">
        <f>T543/T$480</f>
        <v>0.21619712032276159</v>
      </c>
      <c r="AB543" s="463"/>
      <c r="AC543" s="463"/>
      <c r="AD543" s="463"/>
      <c r="AE543" s="463"/>
      <c r="AF543" s="463"/>
      <c r="AG543" s="463"/>
      <c r="AH543" s="369"/>
      <c r="AI543" s="453"/>
    </row>
    <row r="544" spans="1:38" s="407" customFormat="1" x14ac:dyDescent="0.2">
      <c r="A544" s="507"/>
      <c r="B544" s="292"/>
      <c r="C544" s="292"/>
      <c r="D544" s="292"/>
      <c r="E544" s="444"/>
      <c r="F544" s="292" t="s">
        <v>106</v>
      </c>
      <c r="G544" s="460"/>
      <c r="H544" s="410"/>
      <c r="J544" s="407">
        <f>SUMIF($F$1:$F$481,"=Oticon AS",J$1:J$481)</f>
        <v>3880</v>
      </c>
      <c r="K544" s="407">
        <f>SUMIF($F$1:$F$481,"=Oticon AS",K$1:K$481)</f>
        <v>0</v>
      </c>
      <c r="L544" s="407">
        <f>SUMIF($F$1:$F$481,"=Oticon AS",L$1:L$481)</f>
        <v>0</v>
      </c>
      <c r="M544" s="407">
        <f>SUMIF($F$1:$F$481,"=Oticon AS",M$1:M$481)</f>
        <v>0</v>
      </c>
      <c r="N544" s="293">
        <f>SUMIF($F$1:$F$481,"=Oticon AS",N$1:N$481)</f>
        <v>3880</v>
      </c>
      <c r="O544" s="369">
        <f t="shared" si="998"/>
        <v>0.14470052957410309</v>
      </c>
      <c r="P544" s="369" t="e">
        <f t="shared" si="998"/>
        <v>#DIV/0!</v>
      </c>
      <c r="Q544" s="369" t="e">
        <f t="shared" si="998"/>
        <v>#DIV/0!</v>
      </c>
      <c r="R544" s="369">
        <f t="shared" si="999"/>
        <v>0.14470052957410309</v>
      </c>
      <c r="S544" s="448">
        <f>SUMIF($F$9:$F$476,"=Oticon AS",S$9:S$476)</f>
        <v>17678717</v>
      </c>
      <c r="T544" s="448">
        <f>SUMIF($F$9:$F$476,"=Oticon AS",T$9:T$476)</f>
        <v>17563903</v>
      </c>
      <c r="U544" s="448">
        <f>SUMIF($F$9:$F$476,"=Oticon AS",U$9:U$476)</f>
        <v>0</v>
      </c>
      <c r="V544" s="448">
        <f>SUMIF($F$9:$F$476,"=Oticon AS",V$9:V$476)</f>
        <v>0</v>
      </c>
      <c r="W544" s="448">
        <f>SUMIF($F$9:$F$476,"=Oticon AS",W$9:W$476)</f>
        <v>0</v>
      </c>
      <c r="X544" s="448">
        <f t="shared" si="1000"/>
        <v>17563903</v>
      </c>
      <c r="Y544" s="464"/>
      <c r="Z544" s="452">
        <f t="shared" si="1001"/>
        <v>0.1405601030119541</v>
      </c>
      <c r="AA544" s="462">
        <f>T544/T$480</f>
        <v>0.14003003263752622</v>
      </c>
      <c r="AB544" s="463"/>
      <c r="AC544" s="463"/>
      <c r="AD544" s="463"/>
      <c r="AE544" s="463"/>
      <c r="AF544" s="463"/>
      <c r="AG544" s="463"/>
      <c r="AH544" s="369"/>
      <c r="AI544" s="453"/>
    </row>
    <row r="545" spans="1:215" s="407" customFormat="1" x14ac:dyDescent="0.2">
      <c r="A545" s="507"/>
      <c r="B545" s="292"/>
      <c r="C545" s="292"/>
      <c r="D545" s="292"/>
      <c r="E545" s="444"/>
      <c r="F545" s="292" t="s">
        <v>607</v>
      </c>
      <c r="G545" s="460"/>
      <c r="H545" s="410"/>
      <c r="J545" s="407">
        <f>SUMIF($F$1:$F$481,"=Sonova Norway AS",J$1:J$481)</f>
        <v>4521</v>
      </c>
      <c r="K545" s="407">
        <f>SUMIF($F$1:$F$481,"=Sonova Norway AS",K$1:K$481)</f>
        <v>0</v>
      </c>
      <c r="L545" s="407">
        <f>SUMIF($F$1:$F$481,"=Sonova Norway AS",L$1:L$481)</f>
        <v>0</v>
      </c>
      <c r="M545" s="407">
        <f>SUMIF($F$1:$F$481,"=Sonova Norway AS",M$1:M$481)</f>
        <v>0</v>
      </c>
      <c r="N545" s="293">
        <f>SUMIF($F$1:$F$481,"=Sonova Norway AS",N$1:N$481)</f>
        <v>4521</v>
      </c>
      <c r="O545" s="369">
        <f t="shared" si="998"/>
        <v>0.16860595211456703</v>
      </c>
      <c r="P545" s="369" t="e">
        <f t="shared" si="998"/>
        <v>#DIV/0!</v>
      </c>
      <c r="Q545" s="369" t="e">
        <f t="shared" si="998"/>
        <v>#DIV/0!</v>
      </c>
      <c r="R545" s="369">
        <f t="shared" si="999"/>
        <v>0.16860595211456703</v>
      </c>
      <c r="S545" s="448">
        <f>SUMIF($F$9:$F$476,"=Sonova Norway AS",S$9:S$476)</f>
        <v>19676596</v>
      </c>
      <c r="T545" s="448">
        <f>SUMIF($F$9:$F$476,"=Sonova Norway AS",T$9:T$476)</f>
        <v>19676596</v>
      </c>
      <c r="U545" s="448">
        <f>SUMIF($F$9:$F$476,"=Sonova Norway AS",U$9:U$476)</f>
        <v>0</v>
      </c>
      <c r="V545" s="448">
        <f>SUMIF($F$9:$F$476,"=Sonova Norway AS",V$9:V$476)</f>
        <v>0</v>
      </c>
      <c r="W545" s="448">
        <f>SUMIF($F$9:$F$476,"=Sonova Norway AS",W$9:W$476)</f>
        <v>0</v>
      </c>
      <c r="X545" s="448">
        <f t="shared" si="1000"/>
        <v>19676596</v>
      </c>
      <c r="Y545" s="461"/>
      <c r="Z545" s="452">
        <f t="shared" si="1001"/>
        <v>0.15644485743420206</v>
      </c>
      <c r="AA545" s="462">
        <f t="shared" ref="AA545:AA549" si="1002">T545/T$480</f>
        <v>0.15687369601593781</v>
      </c>
      <c r="AB545" s="463"/>
      <c r="AC545" s="463"/>
      <c r="AD545" s="463"/>
      <c r="AE545" s="463"/>
      <c r="AF545" s="463"/>
      <c r="AG545" s="463"/>
      <c r="AH545" s="369"/>
      <c r="AI545" s="453"/>
    </row>
    <row r="546" spans="1:215" s="407" customFormat="1" x14ac:dyDescent="0.2">
      <c r="A546" s="507"/>
      <c r="B546" s="292"/>
      <c r="C546" s="292"/>
      <c r="D546" s="292"/>
      <c r="E546" s="444"/>
      <c r="F546" s="292" t="s">
        <v>109</v>
      </c>
      <c r="G546" s="460"/>
      <c r="H546" s="410"/>
      <c r="J546" s="407">
        <f>SUMIF($F$1:$F$481,"=Starkey Norway AS",J$1:J$481)</f>
        <v>1091</v>
      </c>
      <c r="K546" s="407">
        <f>SUMIF($F$1:$F$481,"=Starkey Norway AS",K$1:K$481)</f>
        <v>0</v>
      </c>
      <c r="L546" s="407">
        <f>SUMIF($F$1:$F$481,"=Starkey Norway AS",L$1:L$481)</f>
        <v>0</v>
      </c>
      <c r="M546" s="407">
        <f>SUMIF($F$1:$F$481,"=Starkey Norway AS",M$1:M$481)</f>
        <v>0</v>
      </c>
      <c r="N546" s="293">
        <f>SUMIF($F$1:$F$481,"=Starkey Norway AS",N$1:N$481)</f>
        <v>1091</v>
      </c>
      <c r="O546" s="369">
        <f t="shared" si="998"/>
        <v>4.0687700454986202E-2</v>
      </c>
      <c r="P546" s="369" t="e">
        <f t="shared" si="998"/>
        <v>#DIV/0!</v>
      </c>
      <c r="Q546" s="369" t="e">
        <f t="shared" si="998"/>
        <v>#DIV/0!</v>
      </c>
      <c r="R546" s="369">
        <f t="shared" si="999"/>
        <v>4.0687700454986202E-2</v>
      </c>
      <c r="S546" s="448">
        <f>SUMIF($F$9:$F$476,"=Starkey Norway AS",S$9:S$476)</f>
        <v>4253137</v>
      </c>
      <c r="T546" s="448">
        <f>SUMIF($F$9:$F$476,"=Starkey Norway AS",T$9:T$476)</f>
        <v>4253137</v>
      </c>
      <c r="U546" s="448">
        <f>SUMIF($F$9:$F$476,"=Starkey Norway AS",U$9:U$476)</f>
        <v>0</v>
      </c>
      <c r="V546" s="448">
        <f>SUMIF($F$9:$F$476,"=Starkey Norway AS",V$9:V$476)</f>
        <v>0</v>
      </c>
      <c r="W546" s="448">
        <f>SUMIF($F$9:$F$476,"=Starkey Norway AS",W$9:W$476)</f>
        <v>0</v>
      </c>
      <c r="X546" s="448">
        <f t="shared" si="1000"/>
        <v>4253137</v>
      </c>
      <c r="Y546" s="461"/>
      <c r="Z546" s="452">
        <f t="shared" si="1001"/>
        <v>3.3815880125461224E-2</v>
      </c>
      <c r="AA546" s="462">
        <f t="shared" si="1002"/>
        <v>3.390857447355923E-2</v>
      </c>
      <c r="AB546" s="463"/>
      <c r="AC546" s="463"/>
      <c r="AD546" s="463"/>
      <c r="AE546" s="463"/>
      <c r="AF546" s="463"/>
      <c r="AG546" s="463"/>
      <c r="AH546" s="369"/>
      <c r="AI546" s="453"/>
    </row>
    <row r="547" spans="1:215" s="407" customFormat="1" x14ac:dyDescent="0.2">
      <c r="A547" s="507"/>
      <c r="B547" s="292"/>
      <c r="C547" s="292"/>
      <c r="D547" s="292"/>
      <c r="E547" s="444"/>
      <c r="F547" s="292" t="s">
        <v>746</v>
      </c>
      <c r="G547" s="460"/>
      <c r="H547" s="410"/>
      <c r="J547" s="407">
        <f>SUMIF($F$1:$F$481,"=Cantec AS",J$1:J$481)</f>
        <v>860</v>
      </c>
      <c r="K547" s="407">
        <f>SUMIF($F$1:$F$481,"=Cantec AS",K$1:K$481)</f>
        <v>0</v>
      </c>
      <c r="L547" s="407">
        <f>SUMIF($F$1:$F$481,"=Cantec AS",L$1:L$481)</f>
        <v>0</v>
      </c>
      <c r="M547" s="407">
        <f>SUMIF($F$1:$F$481,"=Cantec AS",M$1:M$481)</f>
        <v>0</v>
      </c>
      <c r="N547" s="293">
        <f>SUMIF($F$1:$F$481,"=Cantec AS",N$1:N$481)</f>
        <v>860</v>
      </c>
      <c r="O547" s="369">
        <f t="shared" si="998"/>
        <v>3.2072797792198106E-2</v>
      </c>
      <c r="P547" s="369" t="e">
        <f t="shared" si="998"/>
        <v>#DIV/0!</v>
      </c>
      <c r="Q547" s="369" t="e">
        <f t="shared" si="998"/>
        <v>#DIV/0!</v>
      </c>
      <c r="R547" s="369">
        <f t="shared" si="999"/>
        <v>3.2072797792198106E-2</v>
      </c>
      <c r="S547" s="448">
        <f>SUMIF($F$9:$F$476,"=Cantec AS",S$9:S$476)</f>
        <v>4094479</v>
      </c>
      <c r="T547" s="448">
        <f>SUMIF($F$9:$F$476,"=Cantec AS",T$9:T$476)</f>
        <v>4094479</v>
      </c>
      <c r="U547" s="448">
        <f>SUMIF($F$9:$F$476,"=Cantec AS",U$9:U$476)</f>
        <v>0</v>
      </c>
      <c r="V547" s="448">
        <f>SUMIF($F$9:$F$476,"=Cantec AS",V$9:V$476)</f>
        <v>0</v>
      </c>
      <c r="W547" s="448">
        <f>SUMIF($F$9:$F$476,"=Cantec AS",W$9:W$476)</f>
        <v>0</v>
      </c>
      <c r="X547" s="448">
        <f t="shared" si="1000"/>
        <v>4094479</v>
      </c>
      <c r="Y547" s="461"/>
      <c r="Z547" s="452">
        <f t="shared" si="1001"/>
        <v>3.2554420664139987E-2</v>
      </c>
      <c r="AA547" s="462">
        <f t="shared" si="1002"/>
        <v>3.2643657164564494E-2</v>
      </c>
      <c r="AB547" s="463"/>
      <c r="AC547" s="463"/>
      <c r="AD547" s="463"/>
      <c r="AE547" s="463"/>
      <c r="AF547" s="463"/>
      <c r="AG547" s="463"/>
      <c r="AH547" s="369"/>
      <c r="AI547" s="453"/>
    </row>
    <row r="548" spans="1:215" s="407" customFormat="1" x14ac:dyDescent="0.2">
      <c r="A548" s="507"/>
      <c r="B548" s="292"/>
      <c r="C548" s="292"/>
      <c r="D548" s="292"/>
      <c r="E548" s="444"/>
      <c r="F548" s="292" t="s">
        <v>108</v>
      </c>
      <c r="G548" s="460"/>
      <c r="H548" s="410"/>
      <c r="J548" s="407">
        <f>SUMIF($F$1:$F$481,"=Medus AS",J$1:J$481)</f>
        <v>342</v>
      </c>
      <c r="K548" s="407">
        <f>SUMIF($F$1:$F$481,"=Medus AS",K$1:K$481)</f>
        <v>0</v>
      </c>
      <c r="L548" s="407">
        <f>SUMIF($F$1:$F$481,"=Medus AS",L$1:L$481)</f>
        <v>0</v>
      </c>
      <c r="M548" s="407">
        <f>SUMIF($F$1:$F$481,"=Medus AS",M$1:M$481)</f>
        <v>0</v>
      </c>
      <c r="N548" s="293">
        <f>SUMIF($F$1:$F$481,"=Medus AS",N$1:N$481)</f>
        <v>342</v>
      </c>
      <c r="O548" s="369">
        <f t="shared" ref="O548:Q549" si="1003">J548/J$480</f>
        <v>1.2754531215036922E-2</v>
      </c>
      <c r="P548" s="369" t="e">
        <f t="shared" si="1003"/>
        <v>#DIV/0!</v>
      </c>
      <c r="Q548" s="369" t="e">
        <f t="shared" si="1003"/>
        <v>#DIV/0!</v>
      </c>
      <c r="R548" s="369">
        <f t="shared" ref="R548:R549" si="1004">N548/N$480</f>
        <v>1.2754531215036922E-2</v>
      </c>
      <c r="S548" s="448">
        <f>SUMIF($F$9:$F$476,"=Medus AS",S$9:S$476)</f>
        <v>1489070</v>
      </c>
      <c r="T548" s="448">
        <f>SUMIF($F$9:$F$476,"=Medus AS",T$9:T$476)</f>
        <v>1488158</v>
      </c>
      <c r="U548" s="448">
        <f>SUMIF($F$9:$F$476,"=Medus AS",U$9:U$476)</f>
        <v>0</v>
      </c>
      <c r="V548" s="448">
        <f>SUMIF($F$9:$F$476,"=Medus AS",V$9:V$476)</f>
        <v>0</v>
      </c>
      <c r="W548" s="448">
        <f>SUMIF($F$9:$F$476,"=Medus AS",W$9:W$476)</f>
        <v>0</v>
      </c>
      <c r="X548" s="448">
        <f t="shared" ref="X548:X549" si="1005">SUM(T548:W548)</f>
        <v>1488158</v>
      </c>
      <c r="Y548" s="461"/>
      <c r="Z548" s="452">
        <f t="shared" ref="Z548:Z549" si="1006">S548/S$480</f>
        <v>1.1839311223320702E-2</v>
      </c>
      <c r="AA548" s="462">
        <f t="shared" si="1002"/>
        <v>1.1864493518883346E-2</v>
      </c>
      <c r="AB548" s="463"/>
      <c r="AC548" s="463"/>
      <c r="AD548" s="463"/>
      <c r="AE548" s="463"/>
      <c r="AF548" s="463"/>
      <c r="AG548" s="463"/>
      <c r="AH548" s="369"/>
      <c r="AI548" s="453"/>
    </row>
    <row r="549" spans="1:215" s="407" customFormat="1" ht="13.5" thickBot="1" x14ac:dyDescent="0.25">
      <c r="A549" s="507"/>
      <c r="B549" s="292"/>
      <c r="C549" s="292"/>
      <c r="D549" s="292"/>
      <c r="E549" s="444"/>
      <c r="F549" s="292" t="s">
        <v>793</v>
      </c>
      <c r="G549" s="460"/>
      <c r="H549" s="410"/>
      <c r="J549" s="407">
        <f>SUMIF($F$1:$F$481,"=Cochlear Norway AS",J$1:J$481)</f>
        <v>55</v>
      </c>
      <c r="K549" s="407">
        <f>SUMIF($F$1:$F$481,"=Cochlear Norway AS",K$1:K$481)</f>
        <v>0</v>
      </c>
      <c r="L549" s="407">
        <f>SUMIF($F$1:$F$481,"=Cochlear Norway AS",L$1:L$481)</f>
        <v>0</v>
      </c>
      <c r="M549" s="407">
        <f>SUMIF($F$1:$F$481,"=Cochlear Norway AS",M$1:M$481)</f>
        <v>0</v>
      </c>
      <c r="N549" s="293">
        <f>SUMIF($F$1:$F$481,"=Cochlear Norway AS",N$1:N$481)</f>
        <v>55</v>
      </c>
      <c r="O549" s="369">
        <f t="shared" si="1003"/>
        <v>2.0511673006638324E-3</v>
      </c>
      <c r="P549" s="369" t="e">
        <f t="shared" si="1003"/>
        <v>#DIV/0!</v>
      </c>
      <c r="Q549" s="369" t="e">
        <f t="shared" si="1003"/>
        <v>#DIV/0!</v>
      </c>
      <c r="R549" s="369">
        <f t="shared" si="1004"/>
        <v>2.0511673006638324E-3</v>
      </c>
      <c r="S549" s="448">
        <f>SUMIF($F$9:$F$476,"=Cochlear Norway AS",S$9:S$476)</f>
        <v>2133435</v>
      </c>
      <c r="T549" s="448">
        <f>SUMIF($F$9:$F$476,"=Cochlear Norway AS",T$9:T$476)</f>
        <v>2133435</v>
      </c>
      <c r="U549" s="448">
        <f>SUMIF($F$9:$F$476,"=Cochlear Norway AS",U$9:U$476)</f>
        <v>0</v>
      </c>
      <c r="V549" s="448">
        <f>SUMIF($F$9:$F$476,"=Cochlear Norway AS",V$9:V$476)</f>
        <v>0</v>
      </c>
      <c r="W549" s="448">
        <f>SUMIF($F$9:$F$476,"=Cochlear Norway AS",W$9:W$476)</f>
        <v>0</v>
      </c>
      <c r="X549" s="448">
        <f t="shared" si="1005"/>
        <v>2133435</v>
      </c>
      <c r="Y549" s="461"/>
      <c r="Z549" s="452">
        <f t="shared" si="1006"/>
        <v>1.6962534293032027E-2</v>
      </c>
      <c r="AA549" s="462">
        <f t="shared" si="1002"/>
        <v>1.7009031117971942E-2</v>
      </c>
      <c r="AB549" s="463"/>
      <c r="AC549" s="463"/>
      <c r="AD549" s="463"/>
      <c r="AE549" s="463"/>
      <c r="AF549" s="463"/>
      <c r="AG549" s="463"/>
      <c r="AH549" s="369"/>
      <c r="AI549" s="453"/>
    </row>
    <row r="550" spans="1:215" s="407" customFormat="1" ht="13.5" thickBot="1" x14ac:dyDescent="0.25">
      <c r="A550" s="508"/>
      <c r="B550" s="465"/>
      <c r="C550" s="465"/>
      <c r="D550" s="465" t="s">
        <v>5</v>
      </c>
      <c r="E550" s="466"/>
      <c r="F550" s="467"/>
      <c r="G550" s="468"/>
      <c r="H550" s="467"/>
      <c r="I550" s="468"/>
      <c r="J550" s="468">
        <f t="shared" ref="J550:X550" si="1007">SUM(J541:J549)</f>
        <v>26814</v>
      </c>
      <c r="K550" s="468">
        <f t="shared" si="1007"/>
        <v>0</v>
      </c>
      <c r="L550" s="468">
        <f t="shared" si="1007"/>
        <v>0</v>
      </c>
      <c r="M550" s="468">
        <f t="shared" si="1007"/>
        <v>0</v>
      </c>
      <c r="N550" s="316">
        <f t="shared" si="1007"/>
        <v>26814</v>
      </c>
      <c r="O550" s="469">
        <f t="shared" si="1007"/>
        <v>0.99999999999999978</v>
      </c>
      <c r="P550" s="469" t="e">
        <f t="shared" si="1007"/>
        <v>#DIV/0!</v>
      </c>
      <c r="Q550" s="469" t="e">
        <f t="shared" si="1007"/>
        <v>#DIV/0!</v>
      </c>
      <c r="R550" s="469">
        <f t="shared" si="1007"/>
        <v>0.99999999999999978</v>
      </c>
      <c r="S550" s="468">
        <f t="shared" si="1007"/>
        <v>125773364</v>
      </c>
      <c r="T550" s="468">
        <f t="shared" si="1007"/>
        <v>125429543</v>
      </c>
      <c r="U550" s="468">
        <f t="shared" si="1007"/>
        <v>0</v>
      </c>
      <c r="V550" s="468">
        <f t="shared" si="1007"/>
        <v>0</v>
      </c>
      <c r="W550" s="468">
        <f t="shared" si="1007"/>
        <v>0</v>
      </c>
      <c r="X550" s="468">
        <f t="shared" si="1007"/>
        <v>125429543</v>
      </c>
      <c r="Y550" s="470"/>
      <c r="Z550" s="477">
        <f>SUM(Z541:Z549)</f>
        <v>0.99999999999999989</v>
      </c>
      <c r="AA550" s="471">
        <f>SUM(AA541:AA549)</f>
        <v>1</v>
      </c>
    </row>
    <row r="551" spans="1:215" s="255" customFormat="1" ht="11.25" x14ac:dyDescent="0.2">
      <c r="A551" s="509"/>
      <c r="B551" s="256"/>
      <c r="C551" s="256"/>
      <c r="D551" s="256"/>
      <c r="E551" s="431"/>
      <c r="F551" s="254"/>
      <c r="G551" s="254"/>
      <c r="H551" s="254"/>
      <c r="N551" s="432"/>
      <c r="Y551" s="229"/>
      <c r="Z551" s="433"/>
      <c r="AA551" s="229"/>
    </row>
    <row r="552" spans="1:215" s="255" customFormat="1" x14ac:dyDescent="0.2">
      <c r="A552" s="510" t="s">
        <v>15</v>
      </c>
      <c r="B552" s="436"/>
      <c r="C552" s="436"/>
      <c r="D552" s="437"/>
      <c r="E552" s="438"/>
      <c r="F552" s="439"/>
      <c r="G552" s="439"/>
      <c r="H552" s="440"/>
      <c r="I552" s="440"/>
      <c r="J552" s="440"/>
      <c r="K552" s="440"/>
      <c r="L552" s="440"/>
      <c r="M552" s="441"/>
      <c r="N552" s="442"/>
      <c r="O552" s="441"/>
      <c r="P552" s="441"/>
      <c r="Q552" s="441"/>
      <c r="R552" s="441"/>
      <c r="S552" s="440"/>
      <c r="T552" s="440"/>
      <c r="U552" s="440"/>
      <c r="V552" s="440"/>
      <c r="W552" s="440"/>
      <c r="X552" s="440"/>
      <c r="Y552" s="139"/>
      <c r="Z552" s="394"/>
      <c r="AA552" s="139"/>
      <c r="AB552" s="139"/>
    </row>
    <row r="553" spans="1:215" s="255" customFormat="1" x14ac:dyDescent="0.2">
      <c r="A553" s="511"/>
      <c r="B553" s="256"/>
      <c r="C553" s="256"/>
      <c r="D553" s="256" t="s">
        <v>1032</v>
      </c>
      <c r="E553" s="435"/>
      <c r="F553" s="257"/>
      <c r="G553" s="257"/>
      <c r="I553" s="267"/>
      <c r="J553" s="267"/>
      <c r="K553" s="267"/>
      <c r="L553" s="267"/>
      <c r="M553" s="229"/>
      <c r="N553" s="443"/>
      <c r="O553" s="229"/>
      <c r="P553" s="229"/>
      <c r="Q553" s="229"/>
      <c r="R553" s="229"/>
      <c r="AA553" s="139" t="s">
        <v>568</v>
      </c>
      <c r="AB553" s="139"/>
    </row>
    <row r="554" spans="1:215" x14ac:dyDescent="0.2">
      <c r="A554" s="495">
        <v>1</v>
      </c>
      <c r="B554" s="127">
        <v>3</v>
      </c>
      <c r="C554" s="128" t="s">
        <v>902</v>
      </c>
      <c r="D554" s="129" t="s">
        <v>905</v>
      </c>
      <c r="E554" s="184"/>
      <c r="F554" s="135" t="s">
        <v>792</v>
      </c>
      <c r="G554" s="135"/>
      <c r="H554" s="136" t="s">
        <v>8</v>
      </c>
      <c r="I554" s="134" t="s">
        <v>68</v>
      </c>
      <c r="J554" s="134">
        <v>3234</v>
      </c>
      <c r="K554" s="134"/>
      <c r="L554" s="134"/>
      <c r="M554" s="177"/>
      <c r="N554" s="302">
        <f>SUM(J554:M554)</f>
        <v>3234</v>
      </c>
      <c r="O554" s="392">
        <v>4735</v>
      </c>
      <c r="P554" s="392">
        <v>4735</v>
      </c>
      <c r="Q554" s="616">
        <v>4735</v>
      </c>
      <c r="R554" s="392">
        <v>4735</v>
      </c>
      <c r="S554" s="132">
        <f>SUMPRODUCT(J554:M554,O554:R554)</f>
        <v>15312990</v>
      </c>
      <c r="T554" s="132">
        <f>IF(O554&gt;prisgrense,J554*prisgrense,J554*O554)</f>
        <v>15312990</v>
      </c>
      <c r="U554" s="132">
        <f>IF(P554&gt;prisgrense,K554*prisgrense,K554*P554)</f>
        <v>0</v>
      </c>
      <c r="V554" s="132">
        <f>IF(Q554&gt;prisgrense,L554*prisgrense,L554*Q554)</f>
        <v>0</v>
      </c>
      <c r="W554" s="132">
        <f>IF(R554&gt;prisgrense,M554*prisgrense,M554*R554)</f>
        <v>0</v>
      </c>
      <c r="X554" s="132">
        <f>SUM(T554:W554)</f>
        <v>15312990</v>
      </c>
      <c r="Y554" s="139" t="s">
        <v>901</v>
      </c>
      <c r="AC554" s="521"/>
    </row>
    <row r="555" spans="1:215" s="152" customFormat="1" ht="12.75" customHeight="1" x14ac:dyDescent="0.2">
      <c r="A555" s="494">
        <v>8</v>
      </c>
      <c r="B555" s="150">
        <v>36</v>
      </c>
      <c r="C555" s="186" t="s">
        <v>962</v>
      </c>
      <c r="D555" s="129" t="s">
        <v>961</v>
      </c>
      <c r="E555" s="184"/>
      <c r="F555" s="130" t="s">
        <v>817</v>
      </c>
      <c r="G555" s="131" t="s">
        <v>58</v>
      </c>
      <c r="H555" s="135" t="s">
        <v>8</v>
      </c>
      <c r="I555" s="129" t="s">
        <v>68</v>
      </c>
      <c r="J555" s="129">
        <v>2192</v>
      </c>
      <c r="K555" s="129"/>
      <c r="L555" s="129"/>
      <c r="M555" s="141"/>
      <c r="N555" s="302">
        <f>SUM(J555:M555)</f>
        <v>2192</v>
      </c>
      <c r="O555" s="149">
        <v>4851</v>
      </c>
      <c r="P555" s="149">
        <v>4851</v>
      </c>
      <c r="Q555" s="619">
        <v>4851</v>
      </c>
      <c r="R555" s="149">
        <v>4710</v>
      </c>
      <c r="S555" s="132">
        <f>SUMPRODUCT(J555:M555,O555:R555)</f>
        <v>10633392</v>
      </c>
      <c r="T555" s="132">
        <f>IF(O555&gt;prisgrense,J555*prisgrense,J555*O555)</f>
        <v>10591744</v>
      </c>
      <c r="U555" s="132">
        <f>IF(P555&gt;prisgrense,K555*prisgrense,K555*P555)</f>
        <v>0</v>
      </c>
      <c r="V555" s="132">
        <f>IF(Q555&gt;prisgrense,L555*prisgrense,L555*Q555)</f>
        <v>0</v>
      </c>
      <c r="W555" s="132">
        <f>IF(R555&gt;prisgrense,M555*prisgrense,M555*R555)</f>
        <v>0</v>
      </c>
      <c r="X555" s="132">
        <f>SUM(T555:W555)</f>
        <v>10591744</v>
      </c>
      <c r="Y555" s="157" t="s">
        <v>964</v>
      </c>
      <c r="Z555" s="395"/>
      <c r="AC555" s="559"/>
    </row>
    <row r="556" spans="1:215" ht="12.75" customHeight="1" x14ac:dyDescent="0.2">
      <c r="A556" s="494">
        <v>1</v>
      </c>
      <c r="B556" s="127">
        <v>12</v>
      </c>
      <c r="C556" s="186">
        <v>7</v>
      </c>
      <c r="D556" s="129" t="s">
        <v>984</v>
      </c>
      <c r="E556" s="184" t="s">
        <v>985</v>
      </c>
      <c r="F556" s="135" t="s">
        <v>151</v>
      </c>
      <c r="G556" s="137"/>
      <c r="H556" s="136" t="s">
        <v>8</v>
      </c>
      <c r="I556" s="134" t="s">
        <v>68</v>
      </c>
      <c r="J556" s="134">
        <v>2186</v>
      </c>
      <c r="K556" s="134"/>
      <c r="L556" s="134"/>
      <c r="M556" s="177"/>
      <c r="N556" s="302">
        <f>SUM(J556:M556)</f>
        <v>2186</v>
      </c>
      <c r="O556" s="146">
        <v>4770</v>
      </c>
      <c r="P556" s="146">
        <v>4770</v>
      </c>
      <c r="Q556" s="622">
        <v>4770</v>
      </c>
      <c r="R556" s="146">
        <v>4770</v>
      </c>
      <c r="S556" s="132">
        <f>SUMPRODUCT(J556:M556,O556:R556)</f>
        <v>10427220</v>
      </c>
      <c r="T556" s="132">
        <f>IF(O556&gt;prisgrense,J556*prisgrense,J556*O556)</f>
        <v>10427220</v>
      </c>
      <c r="U556" s="132">
        <f>IF(P556&gt;prisgrense,K556*prisgrense,K556*P556)</f>
        <v>0</v>
      </c>
      <c r="V556" s="132">
        <f>IF(Q556&gt;prisgrense,L556*prisgrense,L556*Q556)</f>
        <v>0</v>
      </c>
      <c r="W556" s="132">
        <f>IF(R556&gt;prisgrense,M556*prisgrense,M556*R556)</f>
        <v>0</v>
      </c>
      <c r="X556" s="132">
        <f>SUM(T556:W556)</f>
        <v>10427220</v>
      </c>
      <c r="Y556" s="139" t="s">
        <v>982</v>
      </c>
      <c r="AC556" s="521"/>
    </row>
    <row r="557" spans="1:215" ht="12.75" customHeight="1" x14ac:dyDescent="0.2">
      <c r="A557" s="494">
        <v>1</v>
      </c>
      <c r="B557" s="127">
        <v>19</v>
      </c>
      <c r="C557" s="128" t="s">
        <v>969</v>
      </c>
      <c r="D557" s="134" t="s">
        <v>974</v>
      </c>
      <c r="E557" s="360" t="s">
        <v>975</v>
      </c>
      <c r="F557" s="130" t="s">
        <v>106</v>
      </c>
      <c r="G557" s="131"/>
      <c r="H557" s="136" t="s">
        <v>8</v>
      </c>
      <c r="I557" s="134" t="s">
        <v>68</v>
      </c>
      <c r="J557" s="134">
        <v>1208</v>
      </c>
      <c r="K557" s="134"/>
      <c r="L557" s="134"/>
      <c r="M557" s="177"/>
      <c r="N557" s="302">
        <f>SUM(J557:M557)</f>
        <v>1208</v>
      </c>
      <c r="O557" s="149">
        <v>4870</v>
      </c>
      <c r="P557" s="149">
        <v>4870</v>
      </c>
      <c r="Q557" s="619">
        <v>4870</v>
      </c>
      <c r="R557" s="144">
        <v>4728</v>
      </c>
      <c r="S557" s="132">
        <f>SUMPRODUCT(J557:M557,O557:R557)</f>
        <v>5882960</v>
      </c>
      <c r="T557" s="132">
        <f>IF(O557&gt;prisgrense,J557*prisgrense,J557*O557)</f>
        <v>5837056</v>
      </c>
      <c r="U557" s="132">
        <f>IF(P557&gt;prisgrense,K557*prisgrense,K557*P557)</f>
        <v>0</v>
      </c>
      <c r="V557" s="132">
        <f>IF(Q557&gt;prisgrense,L557*prisgrense,L557*Q557)</f>
        <v>0</v>
      </c>
      <c r="W557" s="132">
        <f>IF(R557&gt;prisgrense,M557*prisgrense,M557*R557)</f>
        <v>0</v>
      </c>
      <c r="X557" s="132">
        <f>SUM(T557:W557)</f>
        <v>5837056</v>
      </c>
      <c r="Y557" s="104" t="s">
        <v>979</v>
      </c>
      <c r="AC557" s="521"/>
    </row>
    <row r="558" spans="1:215" ht="12.75" customHeight="1" x14ac:dyDescent="0.2">
      <c r="A558" s="496">
        <v>8</v>
      </c>
      <c r="B558" s="150">
        <v>12</v>
      </c>
      <c r="C558" s="202">
        <v>7</v>
      </c>
      <c r="D558" s="128" t="s">
        <v>843</v>
      </c>
      <c r="E558" s="184"/>
      <c r="F558" s="135" t="s">
        <v>151</v>
      </c>
      <c r="G558" s="137" t="s">
        <v>781</v>
      </c>
      <c r="H558" s="135" t="s">
        <v>8</v>
      </c>
      <c r="I558" s="129" t="s">
        <v>68</v>
      </c>
      <c r="J558" s="129">
        <v>1198</v>
      </c>
      <c r="K558" s="129"/>
      <c r="L558" s="134"/>
      <c r="M558" s="141"/>
      <c r="N558" s="302">
        <f>SUM(J558:M558)</f>
        <v>1198</v>
      </c>
      <c r="O558" s="132">
        <v>4770</v>
      </c>
      <c r="P558" s="132">
        <v>4770</v>
      </c>
      <c r="Q558" s="621">
        <v>4770</v>
      </c>
      <c r="R558" s="132">
        <v>4770</v>
      </c>
      <c r="S558" s="132">
        <f>SUMPRODUCT(J558:M558,O558:R558)</f>
        <v>5714460</v>
      </c>
      <c r="T558" s="132">
        <f>IF(O558&gt;prisgrense,J558*prisgrense,J558*O558)</f>
        <v>5714460</v>
      </c>
      <c r="U558" s="132">
        <f>IF(P558&gt;prisgrense,K558*prisgrense,K558*P558)</f>
        <v>0</v>
      </c>
      <c r="V558" s="132">
        <f>IF(Q558&gt;prisgrense,L558*prisgrense,L558*Q558)</f>
        <v>0</v>
      </c>
      <c r="W558" s="132">
        <f>IF(R558&gt;prisgrense,M558*prisgrense,M558*R558)</f>
        <v>0</v>
      </c>
      <c r="X558" s="132">
        <f>SUM(T558:W558)</f>
        <v>5714460</v>
      </c>
      <c r="Y558" s="104" t="s">
        <v>835</v>
      </c>
      <c r="AC558" s="521"/>
    </row>
    <row r="559" spans="1:215" ht="12.75" customHeight="1" x14ac:dyDescent="0.2">
      <c r="A559" s="497">
        <v>1</v>
      </c>
      <c r="B559" s="127">
        <v>19</v>
      </c>
      <c r="C559" s="141" t="s">
        <v>969</v>
      </c>
      <c r="D559" s="128" t="s">
        <v>972</v>
      </c>
      <c r="E559" s="358" t="s">
        <v>973</v>
      </c>
      <c r="F559" s="130" t="s">
        <v>106</v>
      </c>
      <c r="G559" s="131"/>
      <c r="H559" s="136" t="s">
        <v>8</v>
      </c>
      <c r="I559" s="134" t="s">
        <v>68</v>
      </c>
      <c r="J559" s="134">
        <v>1125</v>
      </c>
      <c r="K559" s="134"/>
      <c r="L559" s="134"/>
      <c r="M559" s="177"/>
      <c r="N559" s="302">
        <f>SUM(J559:M559)</f>
        <v>1125</v>
      </c>
      <c r="O559" s="163">
        <v>4870</v>
      </c>
      <c r="P559" s="163">
        <v>4870</v>
      </c>
      <c r="Q559" s="623">
        <v>4870</v>
      </c>
      <c r="R559" s="142">
        <v>4728</v>
      </c>
      <c r="S559" s="132">
        <f>SUMPRODUCT(J559:M559,O559:R559)</f>
        <v>5478750</v>
      </c>
      <c r="T559" s="132">
        <f>IF(O559&gt;prisgrense,J559*prisgrense,J559*O559)</f>
        <v>5436000</v>
      </c>
      <c r="U559" s="132">
        <f>IF(P559&gt;prisgrense,K559*prisgrense,K559*P559)</f>
        <v>0</v>
      </c>
      <c r="V559" s="132">
        <f>IF(Q559&gt;prisgrense,L559*prisgrense,L559*Q559)</f>
        <v>0</v>
      </c>
      <c r="W559" s="132">
        <f>IF(R559&gt;prisgrense,M559*prisgrense,M559*R559)</f>
        <v>0</v>
      </c>
      <c r="X559" s="132">
        <f>SUM(T559:W559)</f>
        <v>5436000</v>
      </c>
      <c r="Y559" s="104" t="s">
        <v>979</v>
      </c>
      <c r="AC559" s="521"/>
    </row>
    <row r="560" spans="1:215" ht="12.75" customHeight="1" x14ac:dyDescent="0.2">
      <c r="A560" s="495">
        <v>1</v>
      </c>
      <c r="B560" s="127">
        <v>16</v>
      </c>
      <c r="C560" s="156" t="s">
        <v>770</v>
      </c>
      <c r="D560" s="129" t="s">
        <v>772</v>
      </c>
      <c r="E560" s="184">
        <v>19706500</v>
      </c>
      <c r="F560" s="130" t="s">
        <v>817</v>
      </c>
      <c r="G560" s="143" t="s">
        <v>58</v>
      </c>
      <c r="H560" s="133" t="s">
        <v>8</v>
      </c>
      <c r="I560" s="134" t="s">
        <v>68</v>
      </c>
      <c r="J560" s="134">
        <v>782</v>
      </c>
      <c r="K560" s="134"/>
      <c r="L560" s="134"/>
      <c r="M560" s="485"/>
      <c r="N560" s="302">
        <f>SUM(J560:M560)</f>
        <v>782</v>
      </c>
      <c r="O560" s="146">
        <v>4851</v>
      </c>
      <c r="P560" s="146">
        <v>4851</v>
      </c>
      <c r="Q560" s="622">
        <v>4851</v>
      </c>
      <c r="R560" s="146">
        <v>4710</v>
      </c>
      <c r="S560" s="132">
        <f>SUMPRODUCT(J560:M560,O560:R560)</f>
        <v>3793482</v>
      </c>
      <c r="T560" s="132">
        <f>IF(O560&gt;prisgrense,J560*prisgrense,J560*O560)</f>
        <v>3778624</v>
      </c>
      <c r="U560" s="132">
        <f>IF(P560&gt;prisgrense,K560*prisgrense,K560*P560)</f>
        <v>0</v>
      </c>
      <c r="V560" s="132">
        <f>IF(Q560&gt;prisgrense,L560*prisgrense,L560*Q560)</f>
        <v>0</v>
      </c>
      <c r="W560" s="132">
        <f>IF(R560&gt;prisgrense,M560*prisgrense,M560*R560)</f>
        <v>0</v>
      </c>
      <c r="X560" s="132">
        <f>SUM(T560:W560)</f>
        <v>3778624</v>
      </c>
      <c r="Y560" s="139" t="s">
        <v>762</v>
      </c>
      <c r="Z560" s="394"/>
      <c r="AA560" s="139"/>
      <c r="AB560" s="139"/>
      <c r="AC560" s="521"/>
      <c r="AD560" s="139"/>
      <c r="AE560" s="139"/>
      <c r="AF560" s="139"/>
      <c r="AG560" s="139"/>
      <c r="AH560" s="139"/>
      <c r="AI560" s="139"/>
      <c r="AJ560" s="139"/>
      <c r="AK560" s="139"/>
      <c r="AL560" s="139"/>
      <c r="AM560" s="139"/>
      <c r="AN560" s="139"/>
      <c r="AO560" s="139"/>
      <c r="AP560" s="139"/>
      <c r="AQ560" s="139"/>
      <c r="AR560" s="139"/>
      <c r="AS560" s="139"/>
      <c r="AT560" s="139"/>
      <c r="AU560" s="139"/>
      <c r="AV560" s="139"/>
      <c r="AW560" s="139"/>
      <c r="AX560" s="139"/>
      <c r="AY560" s="139"/>
      <c r="AZ560" s="139"/>
      <c r="BA560" s="139"/>
      <c r="BB560" s="139"/>
      <c r="BC560" s="139"/>
      <c r="BD560" s="139"/>
      <c r="BE560" s="139"/>
      <c r="BF560" s="139"/>
      <c r="BG560" s="139"/>
      <c r="BH560" s="139"/>
      <c r="BI560" s="139"/>
      <c r="BJ560" s="139"/>
      <c r="BK560" s="139"/>
      <c r="BL560" s="139"/>
      <c r="BM560" s="139"/>
      <c r="BN560" s="139"/>
      <c r="BO560" s="139"/>
      <c r="BP560" s="139"/>
      <c r="BQ560" s="139"/>
      <c r="BR560" s="139"/>
      <c r="BS560" s="139"/>
      <c r="BT560" s="139"/>
      <c r="BU560" s="139"/>
      <c r="BV560" s="139"/>
      <c r="BW560" s="139"/>
      <c r="BX560" s="139"/>
      <c r="BY560" s="139"/>
      <c r="BZ560" s="139"/>
      <c r="CA560" s="139"/>
      <c r="CB560" s="139"/>
      <c r="CC560" s="139"/>
      <c r="CD560" s="139"/>
      <c r="CE560" s="139"/>
      <c r="CF560" s="139"/>
      <c r="CG560" s="139"/>
      <c r="CH560" s="139"/>
      <c r="CI560" s="139"/>
      <c r="CJ560" s="139"/>
      <c r="CK560" s="139"/>
      <c r="CL560" s="139"/>
      <c r="CM560" s="139"/>
      <c r="CN560" s="139"/>
      <c r="CO560" s="139"/>
      <c r="CP560" s="139"/>
      <c r="CQ560" s="139"/>
      <c r="CR560" s="139"/>
      <c r="CS560" s="139"/>
      <c r="CT560" s="139"/>
      <c r="CU560" s="139"/>
      <c r="CV560" s="139"/>
      <c r="CW560" s="139"/>
      <c r="CX560" s="139"/>
      <c r="CY560" s="139"/>
      <c r="CZ560" s="139"/>
      <c r="DA560" s="139"/>
      <c r="DB560" s="139"/>
      <c r="DC560" s="139"/>
      <c r="DD560" s="139"/>
      <c r="DE560" s="139"/>
      <c r="DF560" s="139"/>
      <c r="DG560" s="139"/>
      <c r="DH560" s="139"/>
      <c r="DI560" s="139"/>
      <c r="DJ560" s="139"/>
      <c r="DK560" s="139"/>
      <c r="DL560" s="139"/>
      <c r="DM560" s="139"/>
      <c r="DN560" s="139"/>
      <c r="DO560" s="139"/>
      <c r="DP560" s="139"/>
      <c r="DQ560" s="139"/>
      <c r="DR560" s="139"/>
      <c r="DS560" s="139"/>
      <c r="DT560" s="139"/>
      <c r="DU560" s="139"/>
      <c r="DV560" s="139"/>
      <c r="DW560" s="139"/>
      <c r="DX560" s="139"/>
      <c r="DY560" s="139"/>
      <c r="DZ560" s="139"/>
      <c r="EA560" s="139"/>
      <c r="EB560" s="139"/>
      <c r="EC560" s="139"/>
      <c r="ED560" s="139"/>
      <c r="EE560" s="139"/>
      <c r="EF560" s="139"/>
      <c r="EG560" s="139"/>
      <c r="EH560" s="139"/>
      <c r="EI560" s="139"/>
      <c r="EJ560" s="139"/>
      <c r="EK560" s="139"/>
      <c r="EL560" s="139"/>
      <c r="EM560" s="139"/>
      <c r="EN560" s="139"/>
      <c r="EO560" s="139"/>
      <c r="EP560" s="139"/>
      <c r="EQ560" s="139"/>
      <c r="ER560" s="139"/>
      <c r="ES560" s="139"/>
      <c r="ET560" s="139"/>
      <c r="EU560" s="139"/>
      <c r="EV560" s="139"/>
      <c r="EW560" s="139"/>
      <c r="EX560" s="139"/>
      <c r="EY560" s="139"/>
      <c r="EZ560" s="139"/>
      <c r="FA560" s="139"/>
      <c r="FB560" s="139"/>
      <c r="FC560" s="139"/>
      <c r="FD560" s="139"/>
      <c r="FE560" s="139"/>
      <c r="FF560" s="139"/>
      <c r="FG560" s="139"/>
      <c r="FH560" s="139"/>
      <c r="FI560" s="139"/>
      <c r="FJ560" s="139"/>
      <c r="FK560" s="139"/>
      <c r="FL560" s="139"/>
      <c r="FM560" s="139"/>
      <c r="FN560" s="139"/>
      <c r="FO560" s="139"/>
      <c r="FP560" s="139"/>
      <c r="FQ560" s="139"/>
      <c r="FR560" s="139"/>
      <c r="FS560" s="139"/>
      <c r="FT560" s="139"/>
      <c r="FU560" s="139"/>
      <c r="FV560" s="139"/>
      <c r="FW560" s="139"/>
      <c r="FX560" s="139"/>
      <c r="FY560" s="139"/>
      <c r="FZ560" s="139"/>
      <c r="GA560" s="139"/>
      <c r="GB560" s="139"/>
      <c r="GC560" s="139"/>
      <c r="GD560" s="139"/>
      <c r="GE560" s="139"/>
      <c r="GF560" s="139"/>
      <c r="GG560" s="139"/>
      <c r="GH560" s="139"/>
      <c r="GI560" s="139"/>
      <c r="GJ560" s="139"/>
      <c r="GK560" s="139"/>
      <c r="GL560" s="139"/>
      <c r="GM560" s="139"/>
      <c r="GN560" s="139"/>
      <c r="GO560" s="139"/>
      <c r="GP560" s="139"/>
      <c r="GQ560" s="139"/>
      <c r="GR560" s="139"/>
      <c r="GS560" s="139"/>
      <c r="GT560" s="139"/>
      <c r="GU560" s="139"/>
      <c r="GV560" s="139"/>
      <c r="GW560" s="139"/>
      <c r="GX560" s="139"/>
      <c r="GY560" s="139"/>
      <c r="GZ560" s="139"/>
      <c r="HA560" s="139"/>
      <c r="HB560" s="139"/>
      <c r="HC560" s="139"/>
      <c r="HD560" s="139"/>
      <c r="HE560" s="139"/>
      <c r="HF560" s="139"/>
      <c r="HG560" s="139"/>
    </row>
    <row r="561" spans="1:29" ht="12.75" customHeight="1" x14ac:dyDescent="0.2">
      <c r="A561" s="494">
        <v>3</v>
      </c>
      <c r="B561" s="127">
        <v>12</v>
      </c>
      <c r="C561" s="128" t="s">
        <v>871</v>
      </c>
      <c r="D561" s="129" t="s">
        <v>918</v>
      </c>
      <c r="E561" s="184"/>
      <c r="F561" s="135" t="s">
        <v>109</v>
      </c>
      <c r="G561" s="137" t="s">
        <v>291</v>
      </c>
      <c r="H561" s="136" t="s">
        <v>8</v>
      </c>
      <c r="I561" s="134" t="s">
        <v>68</v>
      </c>
      <c r="J561" s="134">
        <v>656</v>
      </c>
      <c r="K561" s="134"/>
      <c r="L561" s="134"/>
      <c r="M561" s="177"/>
      <c r="N561" s="302">
        <f>SUM(J561:M561)</f>
        <v>656</v>
      </c>
      <c r="O561" s="132">
        <v>3895</v>
      </c>
      <c r="P561" s="132">
        <v>3895</v>
      </c>
      <c r="Q561" s="621">
        <v>3895</v>
      </c>
      <c r="R561" s="132">
        <v>3782</v>
      </c>
      <c r="S561" s="132">
        <f>SUMPRODUCT(J561:M561,O561:R561)</f>
        <v>2555120</v>
      </c>
      <c r="T561" s="132">
        <f>IF(O561&gt;prisgrense,J561*prisgrense,J561*O561)</f>
        <v>2555120</v>
      </c>
      <c r="U561" s="132">
        <f>IF(P561&gt;prisgrense,K561*prisgrense,K561*P561)</f>
        <v>0</v>
      </c>
      <c r="V561" s="132">
        <f>IF(Q561&gt;prisgrense,L561*prisgrense,L561*Q561)</f>
        <v>0</v>
      </c>
      <c r="W561" s="132">
        <f>IF(R561&gt;prisgrense,M561*prisgrense,M561*R561)</f>
        <v>0</v>
      </c>
      <c r="X561" s="132">
        <f>SUM(T561:W561)</f>
        <v>2555120</v>
      </c>
      <c r="Y561" s="104" t="s">
        <v>920</v>
      </c>
      <c r="AC561" s="521"/>
    </row>
    <row r="562" spans="1:29" ht="12.75" customHeight="1" x14ac:dyDescent="0.2">
      <c r="A562" s="494">
        <v>1</v>
      </c>
      <c r="B562" s="127">
        <v>13</v>
      </c>
      <c r="C562" s="128" t="s">
        <v>763</v>
      </c>
      <c r="D562" s="129" t="s">
        <v>765</v>
      </c>
      <c r="E562" s="184">
        <v>19706800</v>
      </c>
      <c r="F562" s="130" t="s">
        <v>817</v>
      </c>
      <c r="G562" s="131" t="s">
        <v>58</v>
      </c>
      <c r="H562" s="133" t="s">
        <v>8</v>
      </c>
      <c r="I562" s="134" t="s">
        <v>68</v>
      </c>
      <c r="J562" s="134">
        <v>641</v>
      </c>
      <c r="K562" s="134"/>
      <c r="L562" s="134"/>
      <c r="M562" s="177"/>
      <c r="N562" s="302">
        <f>SUM(J562:M562)</f>
        <v>641</v>
      </c>
      <c r="O562" s="163">
        <v>4851</v>
      </c>
      <c r="P562" s="163">
        <v>4851</v>
      </c>
      <c r="Q562" s="623">
        <v>4851</v>
      </c>
      <c r="R562" s="163">
        <v>4710</v>
      </c>
      <c r="S562" s="132">
        <f>SUMPRODUCT(J562:M562,O562:R562)</f>
        <v>3109491</v>
      </c>
      <c r="T562" s="132">
        <f>IF(O562&gt;prisgrense,J562*prisgrense,J562*O562)</f>
        <v>3097312</v>
      </c>
      <c r="U562" s="132">
        <f>IF(P562&gt;prisgrense,K562*prisgrense,K562*P562)</f>
        <v>0</v>
      </c>
      <c r="V562" s="132">
        <f>IF(Q562&gt;prisgrense,L562*prisgrense,L562*Q562)</f>
        <v>0</v>
      </c>
      <c r="W562" s="132">
        <f>IF(R562&gt;prisgrense,M562*prisgrense,M562*R562)</f>
        <v>0</v>
      </c>
      <c r="X562" s="132">
        <f>SUM(T562:W562)</f>
        <v>3097312</v>
      </c>
      <c r="Y562" s="104" t="s">
        <v>762</v>
      </c>
      <c r="AC562" s="521"/>
    </row>
    <row r="563" spans="1:29" s="152" customFormat="1" ht="12.75" customHeight="1" thickBot="1" x14ac:dyDescent="0.25">
      <c r="A563" s="495">
        <v>8</v>
      </c>
      <c r="B563" s="138">
        <v>27</v>
      </c>
      <c r="C563" s="156"/>
      <c r="D563" s="129" t="s">
        <v>1003</v>
      </c>
      <c r="E563" s="184" t="s">
        <v>999</v>
      </c>
      <c r="F563" s="130" t="s">
        <v>607</v>
      </c>
      <c r="G563" s="135"/>
      <c r="H563" s="135" t="s">
        <v>8</v>
      </c>
      <c r="I563" s="129" t="s">
        <v>68</v>
      </c>
      <c r="J563" s="129">
        <v>605</v>
      </c>
      <c r="K563" s="129"/>
      <c r="L563" s="129"/>
      <c r="M563" s="141"/>
      <c r="N563" s="302">
        <f>SUM(J563:M563)</f>
        <v>605</v>
      </c>
      <c r="O563" s="146">
        <v>4800</v>
      </c>
      <c r="P563" s="146">
        <v>4800</v>
      </c>
      <c r="Q563" s="622">
        <v>4800</v>
      </c>
      <c r="R563" s="146">
        <v>4660</v>
      </c>
      <c r="S563" s="132">
        <f>SUMPRODUCT(J563:M563,O563:R563)</f>
        <v>2904000</v>
      </c>
      <c r="T563" s="132">
        <f>IF(O563&gt;prisgrense,J563*prisgrense,J563*O563)</f>
        <v>2904000</v>
      </c>
      <c r="U563" s="132">
        <f>IF(P563&gt;prisgrense,K563*prisgrense,K563*P563)</f>
        <v>0</v>
      </c>
      <c r="V563" s="132">
        <f>IF(Q563&gt;prisgrense,L563*prisgrense,L563*Q563)</f>
        <v>0</v>
      </c>
      <c r="W563" s="132">
        <f>IF(R563&gt;prisgrense,M563*prisgrense,M563*R563)</f>
        <v>0</v>
      </c>
      <c r="X563" s="132">
        <f>SUM(T563:W563)</f>
        <v>2904000</v>
      </c>
      <c r="Y563" s="157" t="s">
        <v>1000</v>
      </c>
      <c r="Z563" s="395"/>
      <c r="AC563" s="559"/>
    </row>
    <row r="564" spans="1:29" s="402" customFormat="1" x14ac:dyDescent="0.2">
      <c r="A564" s="512"/>
      <c r="D564" s="402" t="s">
        <v>5</v>
      </c>
      <c r="K564" s="587"/>
      <c r="L564" s="587"/>
      <c r="M564" s="587">
        <f>SUM(M554:M563)</f>
        <v>0</v>
      </c>
      <c r="N564" s="587">
        <f>SUM(N554:N563)</f>
        <v>13827</v>
      </c>
      <c r="S564" s="403">
        <f>SUM(S554:S563)</f>
        <v>65811865</v>
      </c>
      <c r="T564" s="403"/>
      <c r="U564" s="403">
        <f>SUM(U554:U563)</f>
        <v>0</v>
      </c>
      <c r="V564" s="403" t="e">
        <f>SUM(#REF!)</f>
        <v>#REF!</v>
      </c>
      <c r="W564" s="403">
        <f>SUM(W554:W563)</f>
        <v>0</v>
      </c>
      <c r="X564" s="403">
        <f>SUM(X554:X563)</f>
        <v>65654526</v>
      </c>
      <c r="Y564" s="524"/>
      <c r="Z564" s="478"/>
      <c r="AA564" s="576" t="e">
        <f>SUM(#REF!)</f>
        <v>#REF!</v>
      </c>
    </row>
    <row r="565" spans="1:29" x14ac:dyDescent="0.2">
      <c r="J565" s="513"/>
      <c r="K565" s="513"/>
      <c r="L565" s="513"/>
      <c r="M565" s="513" t="e">
        <f>M564/M550</f>
        <v>#DIV/0!</v>
      </c>
      <c r="N565" s="513">
        <f>N564/N550</f>
        <v>0.5156634593868874</v>
      </c>
      <c r="W565" s="513" t="e">
        <f>W564/W550</f>
        <v>#DIV/0!</v>
      </c>
      <c r="X565" s="513">
        <f>X564/X550</f>
        <v>0.52343749669884387</v>
      </c>
    </row>
  </sheetData>
  <sheetProtection selectLockedCells="1" selectUnlockedCells="1"/>
  <autoFilter ref="A9:XFD565"/>
  <sortState ref="A555:XFD883">
    <sortCondition descending="1" ref="J555:J883"/>
  </sortState>
  <pageMargins left="0.78740157480314965" right="0.6692913385826772" top="0.62992125984251968" bottom="0.74803149606299213" header="0.51181102362204722" footer="0.51181102362204722"/>
  <pageSetup paperSize="9" scale="52" firstPageNumber="0" fitToHeight="0" orientation="portrait" horizontalDpi="300" verticalDpi="300" r:id="rId1"/>
  <headerFooter alignWithMargins="0">
    <oddHeader>&amp;CHøreapparater fakturert NAV 2019</oddHeader>
    <oddFooter>&amp;CSide &amp;P av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77"/>
  <sheetViews>
    <sheetView zoomScaleNormal="100" workbookViewId="0">
      <selection activeCell="G6" sqref="G6"/>
    </sheetView>
  </sheetViews>
  <sheetFormatPr baseColWidth="10" defaultColWidth="9.140625" defaultRowHeight="12.75" x14ac:dyDescent="0.2"/>
  <cols>
    <col min="1" max="1" width="4.85546875" style="252" bestFit="1" customWidth="1"/>
    <col min="2" max="2" width="5.7109375" style="230" bestFit="1" customWidth="1"/>
    <col min="3" max="3" width="16.28515625" style="301" customWidth="1"/>
    <col min="4" max="4" width="14.5703125" style="301" customWidth="1"/>
    <col min="5" max="5" width="27.85546875" style="301" customWidth="1"/>
    <col min="6" max="6" width="6.5703125" style="252" customWidth="1"/>
    <col min="7" max="10" width="9.140625" style="230" customWidth="1"/>
    <col min="11" max="11" width="8.7109375" style="81" customWidth="1"/>
    <col min="12" max="13" width="8.7109375" style="253" customWidth="1"/>
    <col min="14" max="14" width="8.42578125" style="253" customWidth="1"/>
    <col min="15" max="15" width="8.7109375" style="253" customWidth="1"/>
    <col min="16" max="16" width="9.28515625" style="229" customWidth="1"/>
    <col min="17" max="17" width="10.140625" style="229" customWidth="1"/>
    <col min="18" max="20" width="10.140625" style="229" hidden="1" customWidth="1"/>
    <col min="21" max="21" width="9.42578125" style="230" customWidth="1"/>
    <col min="22" max="22" width="13.7109375" style="230" bestFit="1" customWidth="1"/>
    <col min="23" max="16384" width="9.140625" style="230"/>
  </cols>
  <sheetData>
    <row r="1" spans="1:22" ht="39" thickBot="1" x14ac:dyDescent="0.25">
      <c r="A1" s="111" t="s">
        <v>85</v>
      </c>
      <c r="B1" s="112" t="s">
        <v>159</v>
      </c>
      <c r="C1" s="111" t="s">
        <v>161</v>
      </c>
      <c r="D1" s="113" t="s">
        <v>162</v>
      </c>
      <c r="E1" s="111" t="s">
        <v>163</v>
      </c>
      <c r="F1" s="112" t="s">
        <v>165</v>
      </c>
      <c r="G1" s="204" t="s">
        <v>482</v>
      </c>
      <c r="H1" s="204" t="s">
        <v>484</v>
      </c>
      <c r="I1" s="204" t="s">
        <v>483</v>
      </c>
      <c r="J1" s="204" t="s">
        <v>481</v>
      </c>
      <c r="K1" s="204" t="s">
        <v>480</v>
      </c>
      <c r="L1" s="112" t="s">
        <v>477</v>
      </c>
      <c r="M1" s="112" t="s">
        <v>478</v>
      </c>
      <c r="N1" s="112" t="s">
        <v>479</v>
      </c>
      <c r="O1" s="112" t="s">
        <v>469</v>
      </c>
      <c r="P1" s="112" t="s">
        <v>16</v>
      </c>
      <c r="Q1" s="112" t="s">
        <v>485</v>
      </c>
      <c r="R1" s="112" t="s">
        <v>486</v>
      </c>
      <c r="S1" s="112" t="s">
        <v>487</v>
      </c>
      <c r="T1" s="112" t="s">
        <v>470</v>
      </c>
      <c r="U1" s="112" t="s">
        <v>522</v>
      </c>
      <c r="V1" s="405"/>
    </row>
    <row r="2" spans="1:22" s="232" customFormat="1" ht="15" x14ac:dyDescent="0.2">
      <c r="A2" s="231">
        <v>9</v>
      </c>
      <c r="C2" s="228" t="s">
        <v>475</v>
      </c>
    </row>
    <row r="3" spans="1:22" x14ac:dyDescent="0.2">
      <c r="A3" s="233" t="s">
        <v>124</v>
      </c>
      <c r="B3" s="234">
        <v>1</v>
      </c>
      <c r="C3" s="235" t="s">
        <v>119</v>
      </c>
      <c r="D3" s="236">
        <v>3008</v>
      </c>
      <c r="E3" s="235" t="s">
        <v>108</v>
      </c>
      <c r="F3" s="237" t="s">
        <v>121</v>
      </c>
      <c r="G3" s="236">
        <v>1</v>
      </c>
      <c r="H3" s="237"/>
      <c r="I3" s="237"/>
      <c r="J3" s="238"/>
      <c r="K3" s="302">
        <f>SUM(G3:J3)</f>
        <v>1</v>
      </c>
      <c r="L3" s="239">
        <v>2976</v>
      </c>
      <c r="M3" s="239">
        <v>2976</v>
      </c>
      <c r="N3" s="239">
        <v>2976</v>
      </c>
      <c r="O3" s="239">
        <v>2976</v>
      </c>
      <c r="P3" s="325">
        <f>SUMPRODUCT(G3:J3,L3:O3)</f>
        <v>2976</v>
      </c>
      <c r="Q3" s="325">
        <f t="shared" ref="Q3:T3" si="0">IF(L3&gt;Prisgrense_TM,G3*Prisgrense_TM,G3*L3)</f>
        <v>2744</v>
      </c>
      <c r="R3" s="325">
        <f t="shared" si="0"/>
        <v>0</v>
      </c>
      <c r="S3" s="325">
        <f t="shared" si="0"/>
        <v>0</v>
      </c>
      <c r="T3" s="325">
        <f t="shared" si="0"/>
        <v>0</v>
      </c>
      <c r="U3" s="325">
        <f>SUM(Q3:T3)</f>
        <v>2744</v>
      </c>
      <c r="V3" s="405"/>
    </row>
    <row r="4" spans="1:22" x14ac:dyDescent="0.2">
      <c r="A4" s="241"/>
      <c r="B4" s="241"/>
      <c r="C4" s="242"/>
      <c r="D4" s="241"/>
      <c r="E4" s="241"/>
      <c r="F4" s="243"/>
      <c r="L4" s="243"/>
      <c r="M4" s="243"/>
      <c r="N4" s="243"/>
      <c r="O4" s="243"/>
      <c r="P4" s="326"/>
      <c r="Q4" s="326"/>
      <c r="R4" s="326"/>
      <c r="S4" s="326"/>
      <c r="T4" s="326"/>
      <c r="U4" s="326"/>
      <c r="V4" s="405"/>
    </row>
    <row r="5" spans="1:22" s="232" customFormat="1" ht="15" x14ac:dyDescent="0.2">
      <c r="A5" s="231">
        <v>10</v>
      </c>
      <c r="C5" s="228" t="s">
        <v>476</v>
      </c>
    </row>
    <row r="6" spans="1:22" x14ac:dyDescent="0.2">
      <c r="A6" s="233">
        <v>10</v>
      </c>
      <c r="B6" s="244">
        <v>1</v>
      </c>
      <c r="C6" s="245" t="s">
        <v>467</v>
      </c>
      <c r="D6" s="236">
        <v>2306</v>
      </c>
      <c r="E6" s="245" t="s">
        <v>108</v>
      </c>
      <c r="F6" s="236" t="s">
        <v>122</v>
      </c>
      <c r="G6" s="236">
        <v>602</v>
      </c>
      <c r="H6" s="236"/>
      <c r="I6" s="236"/>
      <c r="J6" s="236"/>
      <c r="K6" s="302">
        <f>SUM(G6:J6)</f>
        <v>602</v>
      </c>
      <c r="L6" s="240">
        <v>1840</v>
      </c>
      <c r="M6" s="240">
        <v>1840</v>
      </c>
      <c r="N6" s="240">
        <v>1840</v>
      </c>
      <c r="O6" s="240">
        <v>1840</v>
      </c>
      <c r="P6" s="325">
        <f>SUMPRODUCT(G6:J6,L6:O6)</f>
        <v>1107680</v>
      </c>
      <c r="Q6" s="325">
        <f t="shared" ref="Q6:T9" si="1">IF(L6&gt;Prisgrense_TM,G6*Prisgrense_TM,G6*L6)</f>
        <v>1107680</v>
      </c>
      <c r="R6" s="325">
        <f t="shared" si="1"/>
        <v>0</v>
      </c>
      <c r="S6" s="325">
        <f t="shared" si="1"/>
        <v>0</v>
      </c>
      <c r="T6" s="325">
        <f t="shared" si="1"/>
        <v>0</v>
      </c>
      <c r="U6" s="325">
        <f>SUM(Q6:T6)</f>
        <v>1107680</v>
      </c>
      <c r="V6" s="405"/>
    </row>
    <row r="7" spans="1:22" x14ac:dyDescent="0.2">
      <c r="A7" s="233">
        <v>10</v>
      </c>
      <c r="B7" s="244">
        <v>2</v>
      </c>
      <c r="C7" s="245" t="s">
        <v>101</v>
      </c>
      <c r="D7" s="236">
        <v>2501</v>
      </c>
      <c r="E7" s="245" t="s">
        <v>108</v>
      </c>
      <c r="F7" s="236" t="s">
        <v>122</v>
      </c>
      <c r="G7" s="236">
        <v>222</v>
      </c>
      <c r="H7" s="236"/>
      <c r="I7" s="236"/>
      <c r="J7" s="236"/>
      <c r="K7" s="302">
        <f>SUM(G7:J7)</f>
        <v>222</v>
      </c>
      <c r="L7" s="240">
        <v>2450</v>
      </c>
      <c r="M7" s="240">
        <v>2450</v>
      </c>
      <c r="N7" s="240">
        <v>2450</v>
      </c>
      <c r="O7" s="240">
        <v>2450</v>
      </c>
      <c r="P7" s="325">
        <f>SUMPRODUCT(G7:J7,L7:O7)</f>
        <v>543900</v>
      </c>
      <c r="Q7" s="325">
        <f t="shared" si="1"/>
        <v>543900</v>
      </c>
      <c r="R7" s="325">
        <f t="shared" si="1"/>
        <v>0</v>
      </c>
      <c r="S7" s="325">
        <f t="shared" si="1"/>
        <v>0</v>
      </c>
      <c r="T7" s="325">
        <f t="shared" si="1"/>
        <v>0</v>
      </c>
      <c r="U7" s="325">
        <f>SUM(Q7:T7)</f>
        <v>543900</v>
      </c>
      <c r="V7" s="405"/>
    </row>
    <row r="8" spans="1:22" x14ac:dyDescent="0.2">
      <c r="A8" s="233">
        <v>10</v>
      </c>
      <c r="B8" s="246">
        <v>3</v>
      </c>
      <c r="C8" s="247" t="s">
        <v>468</v>
      </c>
      <c r="D8" s="247">
        <v>2304</v>
      </c>
      <c r="E8" s="247" t="s">
        <v>108</v>
      </c>
      <c r="F8" s="247" t="s">
        <v>122</v>
      </c>
      <c r="G8" s="236"/>
      <c r="H8" s="236"/>
      <c r="I8" s="236"/>
      <c r="J8" s="236"/>
      <c r="K8" s="302">
        <f>SUM(G8:J8)</f>
        <v>0</v>
      </c>
      <c r="L8" s="248">
        <v>1948</v>
      </c>
      <c r="M8" s="248">
        <v>1948</v>
      </c>
      <c r="N8" s="248">
        <v>1948</v>
      </c>
      <c r="O8" s="248">
        <v>1948</v>
      </c>
      <c r="P8" s="325">
        <f>SUMPRODUCT(G8:J8,L8:O8)</f>
        <v>0</v>
      </c>
      <c r="Q8" s="325">
        <f t="shared" si="1"/>
        <v>0</v>
      </c>
      <c r="R8" s="325">
        <f t="shared" si="1"/>
        <v>0</v>
      </c>
      <c r="S8" s="325">
        <f t="shared" si="1"/>
        <v>0</v>
      </c>
      <c r="T8" s="325">
        <f t="shared" si="1"/>
        <v>0</v>
      </c>
      <c r="U8" s="325">
        <f>SUM(Q8:T8)</f>
        <v>0</v>
      </c>
      <c r="V8" s="405"/>
    </row>
    <row r="9" spans="1:22" x14ac:dyDescent="0.2">
      <c r="A9" s="233">
        <v>10</v>
      </c>
      <c r="B9" s="249">
        <v>4</v>
      </c>
      <c r="C9" s="250" t="s">
        <v>89</v>
      </c>
      <c r="D9" s="250">
        <v>2301</v>
      </c>
      <c r="E9" s="250" t="s">
        <v>108</v>
      </c>
      <c r="F9" s="250" t="s">
        <v>122</v>
      </c>
      <c r="G9" s="236">
        <v>199</v>
      </c>
      <c r="H9" s="236"/>
      <c r="I9" s="236"/>
      <c r="J9" s="236"/>
      <c r="K9" s="302">
        <f>SUM(G9:J9)</f>
        <v>199</v>
      </c>
      <c r="L9" s="251">
        <v>1993</v>
      </c>
      <c r="M9" s="251">
        <v>1993</v>
      </c>
      <c r="N9" s="251">
        <v>1993</v>
      </c>
      <c r="O9" s="251">
        <v>1993</v>
      </c>
      <c r="P9" s="325">
        <f>SUMPRODUCT(G9:J9,L9:O9)</f>
        <v>396607</v>
      </c>
      <c r="Q9" s="325">
        <f t="shared" si="1"/>
        <v>396607</v>
      </c>
      <c r="R9" s="325">
        <f t="shared" si="1"/>
        <v>0</v>
      </c>
      <c r="S9" s="325">
        <f t="shared" si="1"/>
        <v>0</v>
      </c>
      <c r="T9" s="325">
        <f t="shared" si="1"/>
        <v>0</v>
      </c>
      <c r="U9" s="325">
        <f>SUM(Q9:T9)</f>
        <v>396607</v>
      </c>
      <c r="V9" s="405"/>
    </row>
    <row r="10" spans="1:22" s="318" customFormat="1" x14ac:dyDescent="0.2">
      <c r="A10" s="317"/>
      <c r="C10" s="319" t="s">
        <v>6</v>
      </c>
      <c r="D10" s="320"/>
      <c r="E10" s="321"/>
      <c r="F10" s="322"/>
      <c r="G10" s="323">
        <f>SUM(G3:G9)</f>
        <v>1024</v>
      </c>
      <c r="H10" s="323">
        <f>SUM(H3:H9)</f>
        <v>0</v>
      </c>
      <c r="I10" s="323">
        <f>SUM(I3:I9)</f>
        <v>0</v>
      </c>
      <c r="J10" s="323">
        <f>SUM(J3:J9)</f>
        <v>0</v>
      </c>
      <c r="K10" s="324">
        <f>SUM(K3:K9)</f>
        <v>1024</v>
      </c>
      <c r="P10" s="390">
        <f>SUM(P3:P9)</f>
        <v>2051163</v>
      </c>
      <c r="Q10" s="390">
        <f>SUM(Q3:Q9)</f>
        <v>2050931</v>
      </c>
      <c r="R10" s="390"/>
      <c r="S10" s="390"/>
      <c r="T10" s="390"/>
      <c r="U10" s="390">
        <f>SUM(U3:U9)</f>
        <v>2050931</v>
      </c>
      <c r="V10" s="406"/>
    </row>
    <row r="11" spans="1:22" s="255" customFormat="1" x14ac:dyDescent="0.2">
      <c r="A11" s="254"/>
      <c r="C11" s="256"/>
      <c r="D11" s="256"/>
      <c r="E11" s="256"/>
      <c r="F11" s="254"/>
      <c r="K11" s="293"/>
      <c r="L11" s="229"/>
      <c r="M11" s="229"/>
      <c r="N11" s="229"/>
      <c r="O11" s="229"/>
      <c r="P11" s="229"/>
      <c r="Q11" s="229"/>
      <c r="R11" s="229"/>
      <c r="S11" s="229"/>
      <c r="T11" s="229"/>
      <c r="V11" s="407"/>
    </row>
    <row r="12" spans="1:22" s="255" customFormat="1" ht="15.75" x14ac:dyDescent="0.25">
      <c r="A12" s="254"/>
      <c r="C12" s="259"/>
      <c r="D12" s="259"/>
      <c r="E12" s="259"/>
      <c r="F12" s="260"/>
      <c r="K12" s="293"/>
      <c r="L12" s="229"/>
      <c r="M12" s="229"/>
      <c r="N12" s="229"/>
      <c r="O12" s="229"/>
      <c r="P12" s="229"/>
      <c r="Q12" s="261"/>
      <c r="R12" s="261"/>
      <c r="S12" s="261"/>
      <c r="T12" s="261"/>
      <c r="U12" s="229"/>
    </row>
    <row r="13" spans="1:22" s="255" customFormat="1" ht="15.75" x14ac:dyDescent="0.25">
      <c r="A13" s="254"/>
      <c r="C13" s="259" t="s">
        <v>94</v>
      </c>
      <c r="D13" s="259"/>
      <c r="E13" s="259"/>
      <c r="F13" s="260"/>
      <c r="K13" s="293"/>
      <c r="L13" s="229"/>
      <c r="M13" s="229"/>
      <c r="N13" s="229"/>
      <c r="O13" s="229"/>
      <c r="P13" s="229"/>
      <c r="Q13" s="261"/>
      <c r="R13" s="261"/>
      <c r="S13" s="261"/>
      <c r="T13" s="261"/>
      <c r="U13" s="229"/>
    </row>
    <row r="14" spans="1:22" s="407" customFormat="1" x14ac:dyDescent="0.2">
      <c r="A14" s="410"/>
      <c r="C14" s="411" t="s">
        <v>115</v>
      </c>
      <c r="D14" s="411"/>
      <c r="E14" s="411"/>
      <c r="F14" s="412" t="s">
        <v>120</v>
      </c>
      <c r="G14" s="413"/>
      <c r="H14" s="413"/>
      <c r="I14" s="413"/>
      <c r="J14" s="414"/>
      <c r="K14" s="302">
        <f t="shared" ref="K14:K22" si="2">SUM(G14:J14)</f>
        <v>0</v>
      </c>
      <c r="L14" s="325">
        <v>2930</v>
      </c>
      <c r="M14" s="325">
        <v>2930</v>
      </c>
      <c r="N14" s="325">
        <v>2930</v>
      </c>
      <c r="O14" s="325">
        <v>2930</v>
      </c>
      <c r="P14" s="325">
        <f t="shared" ref="P14:P22" si="3">SUMPRODUCT(G14:J14,L14:O14)</f>
        <v>0</v>
      </c>
      <c r="Q14" s="416">
        <f t="shared" ref="Q14:T22" si="4">IF(L14&gt;Prisgrense_TM,G14*Prisgrense_TM,G14*L14)</f>
        <v>0</v>
      </c>
      <c r="R14" s="416">
        <f t="shared" si="4"/>
        <v>0</v>
      </c>
      <c r="S14" s="416">
        <f t="shared" si="4"/>
        <v>0</v>
      </c>
      <c r="T14" s="416">
        <f t="shared" si="4"/>
        <v>0</v>
      </c>
      <c r="U14" s="325">
        <f t="shared" ref="U14:U22" si="5">SUM(Q14:T14)</f>
        <v>0</v>
      </c>
    </row>
    <row r="15" spans="1:22" s="405" customFormat="1" x14ac:dyDescent="0.2">
      <c r="A15" s="410"/>
      <c r="B15" s="407"/>
      <c r="C15" s="235" t="s">
        <v>117</v>
      </c>
      <c r="D15" s="236">
        <v>3005</v>
      </c>
      <c r="E15" s="235" t="s">
        <v>108</v>
      </c>
      <c r="F15" s="412" t="s">
        <v>8</v>
      </c>
      <c r="G15" s="236"/>
      <c r="H15" s="236"/>
      <c r="I15" s="325"/>
      <c r="J15" s="417"/>
      <c r="K15" s="302">
        <f>SUM(G15:J15)</f>
        <v>0</v>
      </c>
      <c r="L15" s="415">
        <v>2750</v>
      </c>
      <c r="M15" s="415">
        <v>2750</v>
      </c>
      <c r="N15" s="325">
        <v>2750</v>
      </c>
      <c r="O15" s="415">
        <v>2750</v>
      </c>
      <c r="P15" s="325">
        <f>SUMPRODUCT(G15:J15,L15:O15)</f>
        <v>0</v>
      </c>
      <c r="Q15" s="325">
        <f>IF(L15&gt;Prisgrense_TM,G15*Prisgrense_TM,G15*L15)</f>
        <v>0</v>
      </c>
      <c r="R15" s="325">
        <f>IF(M15&gt;Prisgrense_TM,H15*Prisgrense_TM,H15*M15)</f>
        <v>0</v>
      </c>
      <c r="S15" s="325">
        <f>IF(N15&gt;Prisgrense_TM,I15*Prisgrense_TM,I15*N15)</f>
        <v>0</v>
      </c>
      <c r="T15" s="325">
        <f>IF(O15&gt;Prisgrense_TM,J15*Prisgrense_TM,J15*O15)</f>
        <v>0</v>
      </c>
      <c r="U15" s="325">
        <f>SUM(Q15:T15)</f>
        <v>0</v>
      </c>
      <c r="V15" s="405" t="s">
        <v>631</v>
      </c>
    </row>
    <row r="16" spans="1:22" s="407" customFormat="1" x14ac:dyDescent="0.2">
      <c r="A16" s="410"/>
      <c r="C16" s="411" t="s">
        <v>118</v>
      </c>
      <c r="D16" s="411"/>
      <c r="E16" s="235" t="s">
        <v>108</v>
      </c>
      <c r="F16" s="412" t="s">
        <v>8</v>
      </c>
      <c r="G16" s="413"/>
      <c r="H16" s="413"/>
      <c r="I16" s="325"/>
      <c r="J16" s="417"/>
      <c r="K16" s="304">
        <f t="shared" si="2"/>
        <v>0</v>
      </c>
      <c r="L16" s="415">
        <v>2923</v>
      </c>
      <c r="M16" s="415">
        <v>2923</v>
      </c>
      <c r="N16" s="325">
        <v>2973</v>
      </c>
      <c r="O16" s="415">
        <v>2923</v>
      </c>
      <c r="P16" s="413">
        <f t="shared" si="3"/>
        <v>0</v>
      </c>
      <c r="Q16" s="416">
        <f t="shared" si="4"/>
        <v>0</v>
      </c>
      <c r="R16" s="416">
        <f t="shared" si="4"/>
        <v>0</v>
      </c>
      <c r="S16" s="416">
        <f t="shared" si="4"/>
        <v>0</v>
      </c>
      <c r="T16" s="416">
        <f t="shared" si="4"/>
        <v>0</v>
      </c>
      <c r="U16" s="325">
        <f t="shared" si="5"/>
        <v>0</v>
      </c>
    </row>
    <row r="17" spans="1:22" s="407" customFormat="1" x14ac:dyDescent="0.2">
      <c r="A17" s="410"/>
      <c r="C17" s="235" t="s">
        <v>653</v>
      </c>
      <c r="D17" s="236">
        <v>11180</v>
      </c>
      <c r="E17" s="235" t="s">
        <v>108</v>
      </c>
      <c r="F17" s="412" t="s">
        <v>8</v>
      </c>
      <c r="G17" s="236"/>
      <c r="H17" s="237"/>
      <c r="I17" s="237"/>
      <c r="J17" s="237"/>
      <c r="K17" s="302">
        <f>SUM(G17:J17)</f>
        <v>0</v>
      </c>
      <c r="L17" s="415">
        <v>2750</v>
      </c>
      <c r="M17" s="415">
        <v>2750</v>
      </c>
      <c r="N17" s="240">
        <v>2750</v>
      </c>
      <c r="O17" s="415">
        <v>2750</v>
      </c>
      <c r="P17" s="325">
        <f>SUMPRODUCT(G17:J17,L17:O17)</f>
        <v>0</v>
      </c>
      <c r="Q17" s="325">
        <f t="shared" ref="Q17" si="6">IF(L17&gt;Prisgrense_TM,G17*Prisgrense_TM,G17*L17)</f>
        <v>0</v>
      </c>
      <c r="R17" s="325">
        <f t="shared" ref="R17" si="7">IF(M17&gt;Prisgrense_TM,H17*Prisgrense_TM,H17*M17)</f>
        <v>0</v>
      </c>
      <c r="S17" s="325">
        <f t="shared" ref="S17" si="8">IF(N17&gt;Prisgrense_TM,I17*Prisgrense_TM,I17*N17)</f>
        <v>0</v>
      </c>
      <c r="T17" s="325">
        <f t="shared" ref="T17" si="9">IF(O17&gt;Prisgrense_TM,J17*Prisgrense_TM,J17*O17)</f>
        <v>0</v>
      </c>
      <c r="U17" s="325">
        <f>SUM(Q17:T17)</f>
        <v>0</v>
      </c>
      <c r="V17" s="405" t="s">
        <v>739</v>
      </c>
    </row>
    <row r="18" spans="1:22" s="407" customFormat="1" x14ac:dyDescent="0.2">
      <c r="A18" s="410"/>
      <c r="C18" s="411" t="s">
        <v>116</v>
      </c>
      <c r="D18" s="411"/>
      <c r="E18" s="235" t="s">
        <v>108</v>
      </c>
      <c r="F18" s="412" t="s">
        <v>9</v>
      </c>
      <c r="G18" s="413"/>
      <c r="H18" s="413"/>
      <c r="I18" s="413"/>
      <c r="J18" s="414"/>
      <c r="K18" s="302">
        <f t="shared" si="2"/>
        <v>0</v>
      </c>
      <c r="L18" s="415">
        <v>2923</v>
      </c>
      <c r="M18" s="415">
        <v>2923</v>
      </c>
      <c r="N18" s="325">
        <v>2973</v>
      </c>
      <c r="O18" s="415">
        <v>2923</v>
      </c>
      <c r="P18" s="325">
        <f t="shared" si="3"/>
        <v>0</v>
      </c>
      <c r="Q18" s="416">
        <f t="shared" si="4"/>
        <v>0</v>
      </c>
      <c r="R18" s="416">
        <f t="shared" si="4"/>
        <v>0</v>
      </c>
      <c r="S18" s="416">
        <f t="shared" si="4"/>
        <v>0</v>
      </c>
      <c r="T18" s="416">
        <f t="shared" si="4"/>
        <v>0</v>
      </c>
      <c r="U18" s="325">
        <f t="shared" si="5"/>
        <v>0</v>
      </c>
    </row>
    <row r="19" spans="1:22" s="407" customFormat="1" x14ac:dyDescent="0.2">
      <c r="A19" s="410"/>
      <c r="C19" s="413" t="s">
        <v>126</v>
      </c>
      <c r="D19" s="413"/>
      <c r="E19" s="235" t="s">
        <v>108</v>
      </c>
      <c r="F19" s="418" t="s">
        <v>122</v>
      </c>
      <c r="G19" s="419"/>
      <c r="H19" s="413"/>
      <c r="I19" s="413"/>
      <c r="J19" s="414"/>
      <c r="K19" s="302">
        <f t="shared" si="2"/>
        <v>0</v>
      </c>
      <c r="L19" s="415">
        <v>1900</v>
      </c>
      <c r="M19" s="415">
        <v>1900</v>
      </c>
      <c r="N19" s="325">
        <v>1900</v>
      </c>
      <c r="O19" s="415">
        <v>1900</v>
      </c>
      <c r="P19" s="325">
        <f t="shared" si="3"/>
        <v>0</v>
      </c>
      <c r="Q19" s="416">
        <f t="shared" si="4"/>
        <v>0</v>
      </c>
      <c r="R19" s="416">
        <f t="shared" si="4"/>
        <v>0</v>
      </c>
      <c r="S19" s="416">
        <f t="shared" si="4"/>
        <v>0</v>
      </c>
      <c r="T19" s="416">
        <f t="shared" si="4"/>
        <v>0</v>
      </c>
      <c r="U19" s="325">
        <f t="shared" si="5"/>
        <v>0</v>
      </c>
    </row>
    <row r="20" spans="1:22" s="407" customFormat="1" x14ac:dyDescent="0.2">
      <c r="A20" s="410"/>
      <c r="C20" s="413" t="s">
        <v>127</v>
      </c>
      <c r="D20" s="413"/>
      <c r="E20" s="235" t="s">
        <v>108</v>
      </c>
      <c r="F20" s="418" t="s">
        <v>8</v>
      </c>
      <c r="G20" s="419"/>
      <c r="H20" s="413"/>
      <c r="I20" s="413"/>
      <c r="J20" s="414"/>
      <c r="K20" s="302">
        <f t="shared" si="2"/>
        <v>0</v>
      </c>
      <c r="L20" s="415">
        <v>2608</v>
      </c>
      <c r="M20" s="415">
        <v>2608</v>
      </c>
      <c r="N20" s="325">
        <v>2608</v>
      </c>
      <c r="O20" s="415">
        <v>2608</v>
      </c>
      <c r="P20" s="325">
        <f t="shared" si="3"/>
        <v>0</v>
      </c>
      <c r="Q20" s="416">
        <f t="shared" si="4"/>
        <v>0</v>
      </c>
      <c r="R20" s="416">
        <f t="shared" si="4"/>
        <v>0</v>
      </c>
      <c r="S20" s="416">
        <f t="shared" si="4"/>
        <v>0</v>
      </c>
      <c r="T20" s="416">
        <f t="shared" si="4"/>
        <v>0</v>
      </c>
      <c r="U20" s="325">
        <f t="shared" si="5"/>
        <v>0</v>
      </c>
    </row>
    <row r="21" spans="1:22" s="407" customFormat="1" x14ac:dyDescent="0.2">
      <c r="A21" s="410"/>
      <c r="C21" s="413" t="s">
        <v>131</v>
      </c>
      <c r="D21" s="413"/>
      <c r="E21" s="413"/>
      <c r="F21" s="418" t="s">
        <v>8</v>
      </c>
      <c r="G21" s="419"/>
      <c r="H21" s="413"/>
      <c r="I21" s="413"/>
      <c r="J21" s="414"/>
      <c r="K21" s="302">
        <f t="shared" si="2"/>
        <v>0</v>
      </c>
      <c r="L21" s="415">
        <v>2608</v>
      </c>
      <c r="M21" s="415">
        <v>2608</v>
      </c>
      <c r="N21" s="325">
        <v>2608</v>
      </c>
      <c r="O21" s="415">
        <v>2608</v>
      </c>
      <c r="P21" s="325">
        <f t="shared" si="3"/>
        <v>0</v>
      </c>
      <c r="Q21" s="416">
        <f t="shared" si="4"/>
        <v>0</v>
      </c>
      <c r="R21" s="416">
        <f t="shared" si="4"/>
        <v>0</v>
      </c>
      <c r="S21" s="416">
        <f t="shared" si="4"/>
        <v>0</v>
      </c>
      <c r="T21" s="416">
        <f t="shared" si="4"/>
        <v>0</v>
      </c>
      <c r="U21" s="325">
        <f t="shared" si="5"/>
        <v>0</v>
      </c>
    </row>
    <row r="22" spans="1:22" s="407" customFormat="1" x14ac:dyDescent="0.2">
      <c r="A22" s="410"/>
      <c r="C22" s="413" t="s">
        <v>145</v>
      </c>
      <c r="D22" s="413"/>
      <c r="E22" s="413"/>
      <c r="F22" s="418" t="s">
        <v>8</v>
      </c>
      <c r="G22" s="419"/>
      <c r="H22" s="413"/>
      <c r="I22" s="413"/>
      <c r="J22" s="414"/>
      <c r="K22" s="302">
        <f t="shared" si="2"/>
        <v>0</v>
      </c>
      <c r="L22" s="415"/>
      <c r="M22" s="325"/>
      <c r="N22" s="325"/>
      <c r="O22" s="325"/>
      <c r="P22" s="325">
        <f t="shared" si="3"/>
        <v>0</v>
      </c>
      <c r="Q22" s="416">
        <f t="shared" si="4"/>
        <v>0</v>
      </c>
      <c r="R22" s="416">
        <f t="shared" si="4"/>
        <v>0</v>
      </c>
      <c r="S22" s="416">
        <f t="shared" si="4"/>
        <v>0</v>
      </c>
      <c r="T22" s="416">
        <f t="shared" si="4"/>
        <v>0</v>
      </c>
      <c r="U22" s="325">
        <f t="shared" si="5"/>
        <v>0</v>
      </c>
    </row>
    <row r="23" spans="1:22" s="407" customFormat="1" ht="13.5" thickBot="1" x14ac:dyDescent="0.25">
      <c r="A23" s="410"/>
      <c r="C23" s="292"/>
      <c r="D23" s="292"/>
      <c r="E23" s="420" t="s">
        <v>130</v>
      </c>
      <c r="F23" s="421"/>
      <c r="G23" s="407">
        <f>SUBTOTAL(9,G14:G22)</f>
        <v>0</v>
      </c>
      <c r="H23" s="407">
        <f>SUBTOTAL(9,H14:H22)</f>
        <v>0</v>
      </c>
      <c r="I23" s="407">
        <f>SUBTOTAL(9,I14:I22)</f>
        <v>0</v>
      </c>
      <c r="J23" s="407">
        <f>SUBTOTAL(9,J14:J22)</f>
        <v>0</v>
      </c>
      <c r="K23" s="302">
        <f>SUBTOTAL(9,K14:K22)</f>
        <v>0</v>
      </c>
      <c r="P23" s="407">
        <f t="shared" ref="P23:U23" si="10">SUBTOTAL(9,P14:P22)</f>
        <v>0</v>
      </c>
      <c r="Q23" s="407">
        <f t="shared" si="10"/>
        <v>0</v>
      </c>
      <c r="R23" s="407">
        <f t="shared" si="10"/>
        <v>0</v>
      </c>
      <c r="S23" s="407">
        <f t="shared" si="10"/>
        <v>0</v>
      </c>
      <c r="T23" s="407">
        <f t="shared" si="10"/>
        <v>0</v>
      </c>
      <c r="U23" s="407">
        <f t="shared" si="10"/>
        <v>0</v>
      </c>
    </row>
    <row r="24" spans="1:22" s="407" customFormat="1" ht="13.5" thickBot="1" x14ac:dyDescent="0.25">
      <c r="A24" s="410"/>
      <c r="C24" s="262" t="s">
        <v>129</v>
      </c>
      <c r="D24" s="262"/>
      <c r="E24" s="422"/>
      <c r="F24" s="423" t="s">
        <v>93</v>
      </c>
      <c r="G24" s="422">
        <f>SUBTOTAL(9,G10:G22)</f>
        <v>1024</v>
      </c>
      <c r="H24" s="422">
        <f>SUBTOTAL(9,H10:H22)</f>
        <v>0</v>
      </c>
      <c r="I24" s="422">
        <f>SUBTOTAL(9,I10:I22)</f>
        <v>0</v>
      </c>
      <c r="J24" s="422">
        <f>SUBTOTAL(9,J10:J22)</f>
        <v>0</v>
      </c>
      <c r="K24" s="305">
        <f>SUBTOTAL(9,K10:K22)</f>
        <v>1024</v>
      </c>
      <c r="L24" s="422"/>
      <c r="M24" s="422"/>
      <c r="N24" s="422"/>
      <c r="O24" s="422"/>
      <c r="P24" s="422">
        <f>SUBTOTAL(9,P10:P22)</f>
        <v>2051163</v>
      </c>
      <c r="Q24" s="424">
        <f>SUBTOTAL(9,Q12:Q20)</f>
        <v>0</v>
      </c>
      <c r="R24" s="424">
        <f>SUBTOTAL(9,R12:R20)</f>
        <v>0</v>
      </c>
      <c r="S24" s="424">
        <f>SUBTOTAL(9,S12:S20)</f>
        <v>0</v>
      </c>
      <c r="T24" s="424">
        <f>SUBTOTAL(9,T12:T20)</f>
        <v>0</v>
      </c>
      <c r="U24" s="425">
        <f>SUBTOTAL(9,U10:U22)</f>
        <v>2050931</v>
      </c>
    </row>
    <row r="25" spans="1:22" s="407" customFormat="1" x14ac:dyDescent="0.2">
      <c r="A25" s="410"/>
      <c r="C25" s="292"/>
      <c r="D25" s="292"/>
      <c r="E25" s="292" t="s">
        <v>25</v>
      </c>
      <c r="F25" s="410"/>
      <c r="J25" s="427">
        <f>G24+H24+I24+J24</f>
        <v>1024</v>
      </c>
      <c r="K25" s="306" t="s">
        <v>23</v>
      </c>
      <c r="L25" s="426"/>
      <c r="M25" s="426"/>
      <c r="N25" s="426"/>
      <c r="O25" s="426"/>
      <c r="P25" s="326">
        <f>P24*1.25</f>
        <v>2563953.75</v>
      </c>
      <c r="Q25" s="326"/>
      <c r="R25" s="326"/>
      <c r="S25" s="326"/>
      <c r="T25" s="326"/>
      <c r="U25" s="326">
        <f>U24*1.25</f>
        <v>2563663.75</v>
      </c>
    </row>
    <row r="26" spans="1:22" s="255" customFormat="1" x14ac:dyDescent="0.2">
      <c r="A26" s="254"/>
      <c r="C26" s="256"/>
      <c r="D26" s="256"/>
      <c r="E26" s="256"/>
      <c r="F26" s="254"/>
      <c r="K26" s="293"/>
      <c r="L26" s="265"/>
      <c r="M26" s="265"/>
      <c r="N26" s="265"/>
      <c r="O26" s="265"/>
      <c r="P26" s="229"/>
      <c r="Q26" s="229"/>
      <c r="R26" s="229"/>
      <c r="S26" s="229"/>
      <c r="T26" s="229"/>
      <c r="U26" s="256"/>
    </row>
    <row r="27" spans="1:22" s="255" customFormat="1" x14ac:dyDescent="0.2">
      <c r="A27" s="254"/>
      <c r="C27" s="256"/>
      <c r="D27" s="256"/>
      <c r="E27" s="256" t="s">
        <v>862</v>
      </c>
      <c r="F27" s="266">
        <v>2744</v>
      </c>
      <c r="K27" s="293"/>
      <c r="L27" s="265"/>
      <c r="M27" s="265"/>
      <c r="N27" s="265"/>
      <c r="O27" s="265"/>
      <c r="P27" s="229"/>
      <c r="Q27" s="229"/>
      <c r="R27" s="229"/>
      <c r="S27" s="229"/>
      <c r="T27" s="229"/>
      <c r="U27" s="256"/>
    </row>
    <row r="28" spans="1:22" s="255" customFormat="1" ht="13.5" thickBot="1" x14ac:dyDescent="0.25">
      <c r="A28" s="254"/>
      <c r="C28" s="267"/>
      <c r="D28" s="267"/>
      <c r="F28" s="254"/>
      <c r="G28" s="257"/>
      <c r="J28" s="229"/>
      <c r="K28" s="293"/>
      <c r="L28" s="268" t="s">
        <v>10</v>
      </c>
      <c r="M28" s="268" t="s">
        <v>10</v>
      </c>
      <c r="N28" s="268" t="s">
        <v>10</v>
      </c>
      <c r="O28" s="268" t="s">
        <v>10</v>
      </c>
      <c r="P28" s="269" t="s">
        <v>18</v>
      </c>
      <c r="Q28" s="229"/>
      <c r="R28" s="229"/>
      <c r="S28" s="229"/>
      <c r="T28" s="229"/>
      <c r="U28" s="270"/>
    </row>
    <row r="29" spans="1:22" s="255" customFormat="1" ht="13.5" thickTop="1" x14ac:dyDescent="0.2">
      <c r="A29" s="254"/>
      <c r="C29" s="256"/>
      <c r="D29" s="256"/>
      <c r="E29" s="271" t="s">
        <v>11</v>
      </c>
      <c r="F29" s="272"/>
      <c r="G29" s="273">
        <f>SUMIF($F3:$F22,"=BTE",G3:G22)</f>
        <v>0</v>
      </c>
      <c r="H29" s="273">
        <f>SUMIF($F3:$F22,"=BTE",H3:H22)</f>
        <v>0</v>
      </c>
      <c r="I29" s="273">
        <f>SUMIF($F3:$F22,"=BTE",I3:I22)</f>
        <v>0</v>
      </c>
      <c r="J29" s="273">
        <f>SUMIF($F3:$F22,"=BTE",J3:J22)</f>
        <v>0</v>
      </c>
      <c r="K29" s="307">
        <f>SUMIF($F3:$F22,"=BTE",K3:K22)</f>
        <v>0</v>
      </c>
      <c r="L29" s="274">
        <f t="shared" ref="L29:N33" si="11">G29/G$24</f>
        <v>0</v>
      </c>
      <c r="M29" s="275" t="e">
        <f t="shared" si="11"/>
        <v>#DIV/0!</v>
      </c>
      <c r="N29" s="275" t="e">
        <f>I29/I$24</f>
        <v>#DIV/0!</v>
      </c>
      <c r="O29" s="275" t="e">
        <f>J29/J24</f>
        <v>#DIV/0!</v>
      </c>
      <c r="P29" s="276">
        <f>K29/K$24</f>
        <v>0</v>
      </c>
      <c r="Q29" s="229"/>
      <c r="R29" s="229"/>
      <c r="S29" s="229"/>
      <c r="T29" s="229"/>
      <c r="U29" s="270"/>
    </row>
    <row r="30" spans="1:22" s="255" customFormat="1" x14ac:dyDescent="0.2">
      <c r="A30" s="254"/>
      <c r="C30" s="256"/>
      <c r="D30" s="256"/>
      <c r="E30" s="277" t="s">
        <v>12</v>
      </c>
      <c r="F30" s="254"/>
      <c r="G30" s="278">
        <f>SUMIF($F3:$F22,"=ITE",G3:G22)</f>
        <v>0</v>
      </c>
      <c r="H30" s="278">
        <f>SUMIF($F3:$F22,"=ITE",H3:H22)</f>
        <v>0</v>
      </c>
      <c r="I30" s="278">
        <f>SUMIF($F3:$F22,"=ITE",I3:I22)</f>
        <v>0</v>
      </c>
      <c r="J30" s="278">
        <f>SUMIF($F3:$F22,"=ITE",J3:J22)</f>
        <v>0</v>
      </c>
      <c r="K30" s="308">
        <f>SUMIF($F3:$F22,"=ITE",K3:K22)</f>
        <v>0</v>
      </c>
      <c r="L30" s="274">
        <f t="shared" si="11"/>
        <v>0</v>
      </c>
      <c r="M30" s="275" t="e">
        <f t="shared" si="11"/>
        <v>#DIV/0!</v>
      </c>
      <c r="N30" s="275" t="e">
        <f t="shared" si="11"/>
        <v>#DIV/0!</v>
      </c>
      <c r="O30" s="275" t="e">
        <f>J30/J24</f>
        <v>#DIV/0!</v>
      </c>
      <c r="P30" s="276">
        <f>K30/K$24</f>
        <v>0</v>
      </c>
      <c r="Q30" s="229"/>
      <c r="R30" s="229"/>
      <c r="S30" s="229"/>
      <c r="T30" s="229"/>
      <c r="U30" s="270"/>
    </row>
    <row r="31" spans="1:22" s="255" customFormat="1" x14ac:dyDescent="0.2">
      <c r="A31" s="254"/>
      <c r="C31" s="256"/>
      <c r="D31" s="256"/>
      <c r="E31" s="277" t="s">
        <v>13</v>
      </c>
      <c r="F31" s="254"/>
      <c r="G31" s="278">
        <f>SUMIF($F3:$F22,"=ITC",G3:G22)</f>
        <v>0</v>
      </c>
      <c r="H31" s="278">
        <f>SUMIF($F3:$F22,"=ITC",H3:H22)</f>
        <v>0</v>
      </c>
      <c r="I31" s="278">
        <f>SUMIF($F3:$F22,"=ITC",I3:I22)</f>
        <v>0</v>
      </c>
      <c r="J31" s="278">
        <f>SUMIF($F3:$F22,"=ITC",J3:J22)</f>
        <v>0</v>
      </c>
      <c r="K31" s="308">
        <f ca="1">SUMIF($F3:$F22,"=ITC",K3:K3)</f>
        <v>0</v>
      </c>
      <c r="L31" s="274">
        <f t="shared" si="11"/>
        <v>0</v>
      </c>
      <c r="M31" s="275" t="e">
        <f t="shared" si="11"/>
        <v>#DIV/0!</v>
      </c>
      <c r="N31" s="275" t="e">
        <f t="shared" si="11"/>
        <v>#DIV/0!</v>
      </c>
      <c r="O31" s="275" t="e">
        <f>J31/J24</f>
        <v>#DIV/0!</v>
      </c>
      <c r="P31" s="276">
        <f ca="1">K31/K$24</f>
        <v>0</v>
      </c>
      <c r="Q31" s="229"/>
      <c r="R31" s="229"/>
      <c r="S31" s="229"/>
      <c r="T31" s="229"/>
      <c r="U31" s="270"/>
    </row>
    <row r="32" spans="1:22" s="255" customFormat="1" x14ac:dyDescent="0.2">
      <c r="A32" s="254"/>
      <c r="C32" s="256"/>
      <c r="D32" s="256"/>
      <c r="E32" s="277" t="s">
        <v>121</v>
      </c>
      <c r="F32" s="254"/>
      <c r="G32" s="278">
        <f>SUMIF($F3:$F22,"=Helix",G3:G22)</f>
        <v>1</v>
      </c>
      <c r="H32" s="278">
        <f>SUMIF($F3:$F22,"=Helix",H3:H22)</f>
        <v>0</v>
      </c>
      <c r="I32" s="278">
        <f>SUMIF($F3:$F22,"=Helix",I3:I22)</f>
        <v>0</v>
      </c>
      <c r="J32" s="278">
        <f>SUMIF($F3:$F22,"=Helix",J3:J22)</f>
        <v>0</v>
      </c>
      <c r="K32" s="308">
        <f>SUMIF($F3:$F22,"=Helix",K3:K22)</f>
        <v>1</v>
      </c>
      <c r="L32" s="274">
        <f t="shared" si="11"/>
        <v>9.765625E-4</v>
      </c>
      <c r="M32" s="275" t="e">
        <f t="shared" si="11"/>
        <v>#DIV/0!</v>
      </c>
      <c r="N32" s="275" t="e">
        <f t="shared" si="11"/>
        <v>#DIV/0!</v>
      </c>
      <c r="O32" s="275" t="e">
        <f>J32/J24</f>
        <v>#DIV/0!</v>
      </c>
      <c r="P32" s="276">
        <f>K32/K$24</f>
        <v>9.765625E-4</v>
      </c>
      <c r="Q32" s="229"/>
      <c r="R32" s="229"/>
      <c r="S32" s="229"/>
      <c r="T32" s="229"/>
      <c r="U32" s="270"/>
    </row>
    <row r="33" spans="1:21" s="255" customFormat="1" x14ac:dyDescent="0.2">
      <c r="A33" s="254"/>
      <c r="C33" s="256"/>
      <c r="D33" s="256"/>
      <c r="E33" s="277" t="s">
        <v>122</v>
      </c>
      <c r="F33" s="254"/>
      <c r="G33" s="278">
        <f>SUMIF($F3:$F22,"=Bord",G3:G22)</f>
        <v>1023</v>
      </c>
      <c r="H33" s="278">
        <f>SUMIF($F3:$F22,"=Bord",H3:H22)</f>
        <v>0</v>
      </c>
      <c r="I33" s="278">
        <f>SUMIF($F3:$F22,"=Bord",I3:I22)</f>
        <v>0</v>
      </c>
      <c r="J33" s="278">
        <f>SUMIF($F3:$F22,"=Bord",J3:J22)</f>
        <v>0</v>
      </c>
      <c r="K33" s="308">
        <f>SUMIF($F3:$F22,"=Bord",K3:K22)</f>
        <v>1023</v>
      </c>
      <c r="L33" s="274">
        <f t="shared" si="11"/>
        <v>0.9990234375</v>
      </c>
      <c r="M33" s="275" t="e">
        <f t="shared" si="11"/>
        <v>#DIV/0!</v>
      </c>
      <c r="N33" s="275" t="e">
        <f t="shared" si="11"/>
        <v>#DIV/0!</v>
      </c>
      <c r="O33" s="275" t="e">
        <f>J33/J24</f>
        <v>#DIV/0!</v>
      </c>
      <c r="P33" s="276">
        <f>K33/K$24</f>
        <v>0.9990234375</v>
      </c>
      <c r="Q33" s="229"/>
      <c r="R33" s="229"/>
      <c r="S33" s="229"/>
      <c r="T33" s="229"/>
      <c r="U33" s="256"/>
    </row>
    <row r="34" spans="1:21" s="255" customFormat="1" ht="13.5" thickBot="1" x14ac:dyDescent="0.25">
      <c r="A34" s="254"/>
      <c r="C34" s="256"/>
      <c r="D34" s="256"/>
      <c r="E34" s="279" t="s">
        <v>140</v>
      </c>
      <c r="F34" s="280"/>
      <c r="G34" s="281">
        <f t="shared" ref="G34:L34" si="12">SUM(G29:G33)</f>
        <v>1024</v>
      </c>
      <c r="H34" s="281">
        <f t="shared" si="12"/>
        <v>0</v>
      </c>
      <c r="I34" s="281">
        <f t="shared" si="12"/>
        <v>0</v>
      </c>
      <c r="J34" s="281">
        <f t="shared" si="12"/>
        <v>0</v>
      </c>
      <c r="K34" s="309">
        <f t="shared" ca="1" si="12"/>
        <v>1024</v>
      </c>
      <c r="L34" s="282">
        <f t="shared" si="12"/>
        <v>1</v>
      </c>
      <c r="M34" s="282" t="e">
        <f>SUM(M29:M33)</f>
        <v>#DIV/0!</v>
      </c>
      <c r="N34" s="282" t="e">
        <f>SUM(N29:N33)</f>
        <v>#DIV/0!</v>
      </c>
      <c r="O34" s="282" t="e">
        <f>SUM(O29:O33)</f>
        <v>#DIV/0!</v>
      </c>
      <c r="P34" s="283">
        <f ca="1">SUM(P29:P33)</f>
        <v>1</v>
      </c>
      <c r="Q34" s="229"/>
      <c r="R34" s="229"/>
      <c r="S34" s="229"/>
      <c r="T34" s="229"/>
      <c r="U34" s="256"/>
    </row>
    <row r="35" spans="1:21" s="255" customFormat="1" ht="13.5" thickTop="1" x14ac:dyDescent="0.2">
      <c r="A35" s="254"/>
      <c r="C35" s="256"/>
      <c r="D35" s="256"/>
      <c r="E35" s="256"/>
      <c r="F35" s="254"/>
      <c r="J35" s="264">
        <f>G34+H34+I34+J34</f>
        <v>1024</v>
      </c>
      <c r="K35" s="293"/>
      <c r="L35" s="229"/>
      <c r="M35" s="229"/>
      <c r="N35" s="229"/>
      <c r="O35" s="229"/>
      <c r="P35" s="229"/>
      <c r="Q35" s="229"/>
      <c r="R35" s="229"/>
      <c r="S35" s="229"/>
      <c r="T35" s="229"/>
      <c r="U35" s="256"/>
    </row>
    <row r="36" spans="1:21" s="255" customFormat="1" x14ac:dyDescent="0.2">
      <c r="A36" s="254"/>
      <c r="C36" s="256"/>
      <c r="D36" s="256"/>
      <c r="E36" s="256"/>
      <c r="F36" s="254"/>
      <c r="K36" s="293"/>
      <c r="L36" s="229"/>
      <c r="M36" s="229"/>
      <c r="N36" s="229"/>
      <c r="O36" s="229"/>
      <c r="P36" s="229"/>
      <c r="Q36" s="229"/>
      <c r="R36" s="229"/>
      <c r="S36" s="229"/>
      <c r="T36" s="229"/>
      <c r="U36" s="256"/>
    </row>
    <row r="37" spans="1:21" s="255" customFormat="1" x14ac:dyDescent="0.2">
      <c r="A37" s="254"/>
      <c r="C37" s="256"/>
      <c r="D37" s="256"/>
      <c r="E37" s="256"/>
      <c r="F37" s="254"/>
      <c r="K37" s="293"/>
      <c r="L37" s="229"/>
      <c r="M37" s="229"/>
      <c r="N37" s="229"/>
      <c r="O37" s="229"/>
      <c r="P37" s="229"/>
      <c r="Q37" s="229"/>
      <c r="R37" s="229"/>
      <c r="S37" s="229"/>
      <c r="T37" s="229"/>
      <c r="U37" s="256"/>
    </row>
    <row r="38" spans="1:21" s="255" customFormat="1" x14ac:dyDescent="0.2">
      <c r="A38" s="254"/>
      <c r="C38" s="256"/>
      <c r="D38" s="256"/>
      <c r="E38" s="256"/>
      <c r="F38" s="254"/>
      <c r="K38" s="293"/>
      <c r="L38" s="229"/>
      <c r="M38" s="229"/>
      <c r="N38" s="229"/>
      <c r="O38" s="229"/>
      <c r="P38" s="229"/>
      <c r="Q38" s="229"/>
      <c r="R38" s="229"/>
      <c r="S38" s="229"/>
      <c r="T38" s="229"/>
      <c r="U38" s="256"/>
    </row>
    <row r="39" spans="1:21" s="255" customFormat="1" x14ac:dyDescent="0.2">
      <c r="A39" s="254"/>
      <c r="C39" s="256"/>
      <c r="D39" s="256"/>
      <c r="E39" s="256"/>
      <c r="F39" s="254"/>
      <c r="K39" s="293"/>
      <c r="L39" s="229"/>
      <c r="M39" s="229"/>
      <c r="N39" s="229"/>
      <c r="O39" s="229"/>
      <c r="P39" s="229"/>
      <c r="Q39" s="229"/>
      <c r="R39" s="229"/>
      <c r="S39" s="229"/>
      <c r="T39" s="229"/>
      <c r="U39" s="256"/>
    </row>
    <row r="40" spans="1:21" s="255" customFormat="1" x14ac:dyDescent="0.2">
      <c r="A40" s="254"/>
      <c r="C40" s="256"/>
      <c r="D40" s="256"/>
      <c r="E40" s="256"/>
      <c r="F40" s="254"/>
      <c r="K40" s="293"/>
      <c r="L40" s="229"/>
      <c r="M40" s="229"/>
      <c r="N40" s="229"/>
      <c r="O40" s="229"/>
      <c r="P40" s="229"/>
      <c r="Q40" s="229"/>
      <c r="R40" s="229"/>
      <c r="S40" s="229"/>
      <c r="T40" s="229"/>
      <c r="U40" s="256"/>
    </row>
    <row r="41" spans="1:21" s="255" customFormat="1" x14ac:dyDescent="0.2">
      <c r="A41" s="254"/>
      <c r="C41" s="256"/>
      <c r="D41" s="256"/>
      <c r="E41" s="256"/>
      <c r="F41" s="254"/>
      <c r="K41" s="293"/>
      <c r="L41" s="229"/>
      <c r="M41" s="229"/>
      <c r="N41" s="229"/>
      <c r="O41" s="229"/>
      <c r="P41" s="229"/>
      <c r="Q41" s="229"/>
      <c r="R41" s="229"/>
      <c r="S41" s="229"/>
      <c r="T41" s="229"/>
      <c r="U41" s="256"/>
    </row>
    <row r="42" spans="1:21" s="255" customFormat="1" x14ac:dyDescent="0.2">
      <c r="A42" s="254"/>
      <c r="C42" s="256"/>
      <c r="D42" s="256"/>
      <c r="E42" s="256"/>
      <c r="F42" s="254"/>
      <c r="K42" s="293"/>
      <c r="L42" s="229"/>
      <c r="M42" s="258"/>
      <c r="N42" s="229"/>
      <c r="O42" s="229"/>
      <c r="P42" s="229"/>
      <c r="Q42" s="229"/>
      <c r="R42" s="229"/>
      <c r="S42" s="229"/>
      <c r="T42" s="229"/>
      <c r="U42" s="256"/>
    </row>
    <row r="43" spans="1:21" s="255" customFormat="1" x14ac:dyDescent="0.2">
      <c r="A43" s="254"/>
      <c r="C43" s="256"/>
      <c r="D43" s="256"/>
      <c r="E43" s="256"/>
      <c r="F43" s="254"/>
      <c r="K43" s="293"/>
      <c r="L43" s="229"/>
      <c r="M43" s="229"/>
      <c r="N43" s="229"/>
      <c r="O43" s="229"/>
      <c r="P43" s="229"/>
      <c r="Q43" s="229"/>
      <c r="R43" s="229"/>
      <c r="S43" s="229"/>
      <c r="T43" s="229"/>
      <c r="U43" s="256"/>
    </row>
    <row r="44" spans="1:21" s="255" customFormat="1" x14ac:dyDescent="0.2">
      <c r="A44" s="254"/>
      <c r="C44" s="256"/>
      <c r="D44" s="256"/>
      <c r="E44" s="256"/>
      <c r="F44" s="254"/>
      <c r="K44" s="293"/>
      <c r="L44" s="229"/>
      <c r="M44" s="229"/>
      <c r="N44" s="229"/>
      <c r="O44" s="229"/>
      <c r="P44" s="229"/>
      <c r="Q44" s="229"/>
      <c r="R44" s="229"/>
      <c r="S44" s="229"/>
      <c r="T44" s="229"/>
      <c r="U44" s="256"/>
    </row>
    <row r="45" spans="1:21" s="255" customFormat="1" x14ac:dyDescent="0.2">
      <c r="A45" s="254"/>
      <c r="C45" s="256"/>
      <c r="D45" s="256"/>
      <c r="E45" s="256"/>
      <c r="F45" s="254"/>
      <c r="K45" s="293"/>
      <c r="L45" s="229"/>
      <c r="M45" s="229"/>
      <c r="N45" s="229"/>
      <c r="O45" s="229"/>
      <c r="P45" s="229"/>
      <c r="Q45" s="229"/>
      <c r="R45" s="229"/>
      <c r="S45" s="229"/>
      <c r="T45" s="229"/>
      <c r="U45" s="256"/>
    </row>
    <row r="46" spans="1:21" s="255" customFormat="1" x14ac:dyDescent="0.2">
      <c r="A46" s="254"/>
      <c r="C46" s="256"/>
      <c r="D46" s="256"/>
      <c r="E46" s="256"/>
      <c r="F46" s="254"/>
      <c r="K46" s="293"/>
      <c r="L46" s="229"/>
      <c r="M46" s="229"/>
      <c r="N46" s="229"/>
      <c r="O46" s="229"/>
      <c r="P46" s="229"/>
      <c r="Q46" s="229"/>
      <c r="R46" s="229"/>
      <c r="S46" s="229"/>
      <c r="T46" s="229"/>
      <c r="U46" s="256"/>
    </row>
    <row r="47" spans="1:21" s="255" customFormat="1" x14ac:dyDescent="0.2">
      <c r="A47" s="254"/>
      <c r="C47" s="256"/>
      <c r="D47" s="256"/>
      <c r="E47" s="256"/>
      <c r="F47" s="254"/>
      <c r="K47" s="293"/>
      <c r="L47" s="229"/>
      <c r="M47" s="229"/>
      <c r="N47" s="229"/>
      <c r="O47" s="229"/>
      <c r="P47" s="229"/>
      <c r="Q47" s="229"/>
      <c r="R47" s="229"/>
      <c r="S47" s="229"/>
      <c r="T47" s="229"/>
      <c r="U47" s="256"/>
    </row>
    <row r="48" spans="1:21" s="255" customFormat="1" x14ac:dyDescent="0.2">
      <c r="A48" s="254"/>
      <c r="C48" s="256"/>
      <c r="D48" s="256"/>
      <c r="E48" s="256"/>
      <c r="F48" s="254"/>
      <c r="K48" s="293"/>
      <c r="L48" s="229"/>
      <c r="M48" s="229"/>
      <c r="N48" s="229"/>
      <c r="O48" s="229"/>
      <c r="P48" s="229"/>
      <c r="Q48" s="229"/>
      <c r="R48" s="229"/>
      <c r="S48" s="229"/>
      <c r="T48" s="229"/>
      <c r="U48" s="256"/>
    </row>
    <row r="49" spans="1:21" s="255" customFormat="1" x14ac:dyDescent="0.2">
      <c r="A49" s="254"/>
      <c r="C49" s="256"/>
      <c r="D49" s="256"/>
      <c r="E49" s="256"/>
      <c r="F49" s="254"/>
      <c r="K49" s="293"/>
      <c r="L49" s="229"/>
      <c r="M49" s="229"/>
      <c r="N49" s="229"/>
      <c r="O49" s="229"/>
      <c r="P49" s="229"/>
      <c r="Q49" s="229"/>
      <c r="R49" s="229"/>
      <c r="S49" s="229"/>
      <c r="T49" s="229"/>
      <c r="U49" s="256"/>
    </row>
    <row r="50" spans="1:21" s="255" customFormat="1" x14ac:dyDescent="0.2">
      <c r="A50" s="254"/>
      <c r="C50" s="256"/>
      <c r="D50" s="256"/>
      <c r="E50" s="256"/>
      <c r="F50" s="254"/>
      <c r="K50" s="293"/>
      <c r="L50" s="229"/>
      <c r="M50" s="229"/>
      <c r="N50" s="229"/>
      <c r="O50" s="229"/>
      <c r="P50" s="229"/>
      <c r="Q50" s="229"/>
      <c r="R50" s="229"/>
      <c r="S50" s="229"/>
      <c r="T50" s="229"/>
      <c r="U50" s="256"/>
    </row>
    <row r="51" spans="1:21" s="255" customFormat="1" x14ac:dyDescent="0.2">
      <c r="A51" s="254"/>
      <c r="C51" s="256"/>
      <c r="D51" s="256"/>
      <c r="E51" s="256"/>
      <c r="F51" s="254"/>
      <c r="K51" s="293"/>
      <c r="L51" s="229"/>
      <c r="M51" s="229"/>
      <c r="N51" s="229"/>
      <c r="O51" s="229"/>
      <c r="P51" s="229"/>
      <c r="Q51" s="229"/>
      <c r="R51" s="229"/>
      <c r="S51" s="229"/>
      <c r="T51" s="229"/>
      <c r="U51" s="256"/>
    </row>
    <row r="52" spans="1:21" s="255" customFormat="1" x14ac:dyDescent="0.2">
      <c r="A52" s="254"/>
      <c r="C52" s="256"/>
      <c r="D52" s="256"/>
      <c r="E52" s="256"/>
      <c r="F52" s="254"/>
      <c r="K52" s="293"/>
      <c r="L52" s="229"/>
      <c r="M52" s="229"/>
      <c r="N52" s="229"/>
      <c r="O52" s="229"/>
      <c r="P52" s="229"/>
      <c r="Q52" s="229"/>
      <c r="R52" s="229"/>
      <c r="S52" s="229"/>
      <c r="T52" s="229"/>
      <c r="U52" s="256"/>
    </row>
    <row r="53" spans="1:21" s="255" customFormat="1" x14ac:dyDescent="0.2">
      <c r="A53" s="254"/>
      <c r="C53" s="256"/>
      <c r="D53" s="256"/>
      <c r="E53" s="256"/>
      <c r="F53" s="254"/>
      <c r="G53" s="278"/>
      <c r="H53" s="278"/>
      <c r="I53" s="278"/>
      <c r="J53" s="278"/>
      <c r="K53" s="310"/>
      <c r="L53" s="229"/>
      <c r="M53" s="229"/>
      <c r="N53" s="229"/>
      <c r="O53" s="229"/>
      <c r="P53" s="229"/>
      <c r="Q53" s="229"/>
      <c r="R53" s="229"/>
      <c r="S53" s="229"/>
      <c r="T53" s="229"/>
      <c r="U53" s="256"/>
    </row>
    <row r="54" spans="1:21" s="255" customFormat="1" hidden="1" x14ac:dyDescent="0.2">
      <c r="A54" s="254"/>
      <c r="C54" s="256"/>
      <c r="D54" s="256"/>
      <c r="E54" s="284" t="s">
        <v>62</v>
      </c>
      <c r="F54" s="285"/>
      <c r="G54" s="286">
        <f>SUMIF(L12:L20,"&gt;4544",G12:G20)</f>
        <v>0</v>
      </c>
      <c r="H54" s="286">
        <f>SUMIF(M12:M20,"&gt;4456",H12:H20)</f>
        <v>0</v>
      </c>
      <c r="I54" s="286">
        <f>SUMIF(N12:N20,"&gt;4456",I12:I20)</f>
        <v>0</v>
      </c>
      <c r="J54" s="286">
        <f>SUMIF(O12:O20,"&gt;4856",J12:J20)</f>
        <v>0</v>
      </c>
      <c r="K54" s="311">
        <f>SUM(G54:J54)</f>
        <v>0</v>
      </c>
      <c r="L54" s="274"/>
      <c r="M54" s="274"/>
      <c r="N54" s="274"/>
      <c r="O54" s="274"/>
      <c r="R54" s="274"/>
      <c r="S54" s="229"/>
      <c r="T54" s="229"/>
    </row>
    <row r="55" spans="1:21" s="255" customFormat="1" hidden="1" x14ac:dyDescent="0.2">
      <c r="A55" s="254"/>
      <c r="C55" s="256"/>
      <c r="D55" s="256"/>
      <c r="E55" s="287" t="s">
        <v>63</v>
      </c>
      <c r="F55" s="288"/>
      <c r="G55" s="289">
        <f>G54/G24</f>
        <v>0</v>
      </c>
      <c r="H55" s="289" t="e">
        <f>H54/H24</f>
        <v>#DIV/0!</v>
      </c>
      <c r="I55" s="289" t="e">
        <f>I54/I24</f>
        <v>#DIV/0!</v>
      </c>
      <c r="J55" s="289" t="e">
        <f>J54/J24</f>
        <v>#DIV/0!</v>
      </c>
      <c r="K55" s="312">
        <f>K54/K24</f>
        <v>0</v>
      </c>
      <c r="L55" s="274"/>
      <c r="M55" s="274"/>
      <c r="N55" s="274"/>
      <c r="O55" s="274"/>
      <c r="P55" s="229"/>
      <c r="Q55" s="229"/>
      <c r="R55" s="229"/>
      <c r="S55" s="229"/>
      <c r="T55" s="229"/>
      <c r="U55" s="256"/>
    </row>
    <row r="56" spans="1:21" s="255" customFormat="1" hidden="1" x14ac:dyDescent="0.2">
      <c r="A56" s="254"/>
      <c r="C56" s="256"/>
      <c r="D56" s="256"/>
      <c r="E56" s="256" t="s">
        <v>92</v>
      </c>
      <c r="G56" s="255">
        <f>COUNT(L12:L20)</f>
        <v>7</v>
      </c>
      <c r="H56" s="255">
        <f>COUNT(M12:M20)</f>
        <v>7</v>
      </c>
      <c r="I56" s="255">
        <f>COUNT(N12:N20)</f>
        <v>7</v>
      </c>
      <c r="J56" s="255">
        <f>COUNT(O12:O20)</f>
        <v>7</v>
      </c>
      <c r="K56" s="293"/>
      <c r="M56" s="229"/>
      <c r="N56" s="229"/>
      <c r="O56" s="229"/>
      <c r="P56" s="229"/>
      <c r="Q56" s="229"/>
      <c r="R56" s="229"/>
      <c r="S56" s="229"/>
      <c r="T56" s="229"/>
      <c r="U56" s="256"/>
    </row>
    <row r="57" spans="1:21" s="255" customFormat="1" hidden="1" x14ac:dyDescent="0.2">
      <c r="A57" s="254"/>
      <c r="C57" s="256"/>
      <c r="D57" s="256"/>
      <c r="E57" s="256" t="s">
        <v>100</v>
      </c>
      <c r="G57" s="255">
        <f>COUNT(#REF!)</f>
        <v>0</v>
      </c>
      <c r="K57" s="293"/>
      <c r="M57" s="229"/>
      <c r="N57" s="229"/>
      <c r="O57" s="229"/>
      <c r="P57" s="229"/>
      <c r="Q57" s="229"/>
      <c r="R57" s="229"/>
      <c r="S57" s="229"/>
      <c r="T57" s="229"/>
      <c r="U57" s="256"/>
    </row>
    <row r="58" spans="1:21" s="255" customFormat="1" hidden="1" x14ac:dyDescent="0.2">
      <c r="A58" s="254"/>
      <c r="C58" s="256"/>
      <c r="D58" s="256"/>
      <c r="E58" s="256" t="s">
        <v>64</v>
      </c>
      <c r="G58" s="274" t="e">
        <f>SUMIF(#REF!,"=RITE",G12:G20)/G24</f>
        <v>#REF!</v>
      </c>
      <c r="H58" s="274" t="e">
        <f>SUMIF(#REF!,"=RITE",H12:H20)/H24</f>
        <v>#REF!</v>
      </c>
      <c r="I58" s="274" t="e">
        <f>SUMIF(#REF!,"=RITE",I12:I20)/I24</f>
        <v>#REF!</v>
      </c>
      <c r="J58" s="274" t="e">
        <f>SUMIF(#REF!,"=RITE",J12:J20)/J24</f>
        <v>#REF!</v>
      </c>
      <c r="K58" s="313" t="e">
        <f>SUMIF(#REF!,"=RITE",K12:K20)/K24</f>
        <v>#REF!</v>
      </c>
      <c r="M58" s="229"/>
      <c r="N58" s="229"/>
      <c r="O58" s="229"/>
      <c r="P58" s="229"/>
      <c r="Q58" s="229"/>
      <c r="R58" s="229"/>
      <c r="S58" s="229"/>
      <c r="T58" s="229"/>
      <c r="U58" s="256"/>
    </row>
    <row r="59" spans="1:21" s="255" customFormat="1" hidden="1" x14ac:dyDescent="0.2">
      <c r="A59" s="254"/>
      <c r="C59" s="256"/>
      <c r="D59" s="256"/>
      <c r="E59" s="256" t="s">
        <v>65</v>
      </c>
      <c r="G59" s="274" t="e">
        <f>SUMIF(#REF!,"=tynn",G12:G20)/G24</f>
        <v>#REF!</v>
      </c>
      <c r="H59" s="274" t="e">
        <f>SUMIF(#REF!,"=tynn",H12:H20)/H24</f>
        <v>#REF!</v>
      </c>
      <c r="I59" s="274" t="e">
        <f>SUMIF(#REF!,"=tynn",I12:I20)/I24</f>
        <v>#REF!</v>
      </c>
      <c r="J59" s="274" t="e">
        <f>SUMIF(#REF!,"=tynn",J12:J20)/J24</f>
        <v>#REF!</v>
      </c>
      <c r="K59" s="314" t="e">
        <f>SUMIF(#REF!,"=tynn",K12:K20)/K24</f>
        <v>#REF!</v>
      </c>
      <c r="M59" s="229"/>
      <c r="N59" s="229"/>
      <c r="O59" s="229"/>
      <c r="P59" s="229"/>
      <c r="Q59" s="229"/>
      <c r="R59" s="229"/>
      <c r="S59" s="229"/>
      <c r="T59" s="229"/>
      <c r="U59" s="256"/>
    </row>
    <row r="60" spans="1:21" s="255" customFormat="1" hidden="1" x14ac:dyDescent="0.2">
      <c r="A60" s="254"/>
      <c r="C60" s="256"/>
      <c r="D60" s="256"/>
      <c r="E60" s="256" t="s">
        <v>69</v>
      </c>
      <c r="F60" s="255" t="s">
        <v>88</v>
      </c>
      <c r="G60" s="274" t="e">
        <f>SUMIF(#REF!,"=tynn mulig",G12:G20)/G24</f>
        <v>#REF!</v>
      </c>
      <c r="H60" s="274" t="e">
        <f>SUMIF(#REF!,"=tynn mulig",H12:H20)/H24</f>
        <v>#REF!</v>
      </c>
      <c r="I60" s="274" t="e">
        <f>SUMIF(#REF!,"=tynn mulig",I12:I20)/I24</f>
        <v>#REF!</v>
      </c>
      <c r="J60" s="274" t="e">
        <f>SUMIF(#REF!,"=tynn mulig",J12:J20)/J24</f>
        <v>#REF!</v>
      </c>
      <c r="K60" s="314" t="e">
        <f>SUMIF(#REF!,"=tynn mulig",K12:K20)/K24</f>
        <v>#REF!</v>
      </c>
      <c r="M60" s="229"/>
      <c r="N60" s="229"/>
      <c r="O60" s="229"/>
      <c r="P60" s="229"/>
      <c r="Q60" s="229"/>
      <c r="R60" s="229"/>
      <c r="S60" s="229"/>
      <c r="T60" s="229"/>
      <c r="U60" s="256"/>
    </row>
    <row r="61" spans="1:21" s="255" customFormat="1" hidden="1" x14ac:dyDescent="0.2">
      <c r="A61" s="254"/>
      <c r="C61" s="256"/>
      <c r="D61" s="256"/>
      <c r="E61" s="256"/>
      <c r="G61" s="274"/>
      <c r="H61" s="274"/>
      <c r="I61" s="274"/>
      <c r="J61" s="274"/>
      <c r="K61" s="314"/>
      <c r="M61" s="229"/>
      <c r="N61" s="229"/>
      <c r="O61" s="229"/>
      <c r="P61" s="229"/>
      <c r="Q61" s="229"/>
      <c r="R61" s="229"/>
      <c r="S61" s="229"/>
      <c r="T61" s="229"/>
      <c r="U61" s="256"/>
    </row>
    <row r="62" spans="1:21" s="291" customFormat="1" hidden="1" x14ac:dyDescent="0.2">
      <c r="A62" s="290"/>
      <c r="C62" s="256"/>
      <c r="D62" s="256"/>
      <c r="E62" s="256"/>
      <c r="F62" s="254"/>
      <c r="G62" s="255"/>
      <c r="H62" s="255"/>
      <c r="I62" s="255"/>
      <c r="J62" s="255"/>
      <c r="K62" s="293"/>
      <c r="L62" s="229"/>
      <c r="M62" s="229"/>
      <c r="N62" s="229"/>
      <c r="O62" s="229"/>
      <c r="P62" s="229"/>
      <c r="Q62" s="229"/>
      <c r="R62" s="229"/>
      <c r="S62" s="229"/>
      <c r="T62" s="229"/>
      <c r="U62" s="256"/>
    </row>
    <row r="63" spans="1:21" s="291" customFormat="1" hidden="1" x14ac:dyDescent="0.2">
      <c r="A63" s="290"/>
      <c r="C63" s="256"/>
      <c r="D63" s="256"/>
      <c r="E63" s="256"/>
      <c r="F63" s="254"/>
      <c r="G63" s="255"/>
      <c r="H63" s="255"/>
      <c r="I63" s="255"/>
      <c r="J63" s="255"/>
      <c r="K63" s="293"/>
      <c r="L63" s="229"/>
      <c r="M63" s="229"/>
      <c r="N63" s="229"/>
      <c r="O63" s="229"/>
      <c r="P63" s="229"/>
      <c r="Q63" s="229"/>
      <c r="R63" s="229"/>
      <c r="S63" s="229"/>
      <c r="T63" s="229"/>
      <c r="U63" s="256"/>
    </row>
    <row r="64" spans="1:21" s="291" customFormat="1" hidden="1" x14ac:dyDescent="0.2">
      <c r="A64" s="290"/>
      <c r="C64" s="256"/>
      <c r="D64" s="256"/>
      <c r="E64" s="256"/>
      <c r="F64" s="254"/>
      <c r="G64" s="255"/>
      <c r="H64" s="255"/>
      <c r="I64" s="255"/>
      <c r="J64" s="255"/>
      <c r="K64" s="293"/>
      <c r="L64" s="229"/>
      <c r="M64" s="229"/>
      <c r="N64" s="229"/>
      <c r="O64" s="229"/>
      <c r="P64" s="229"/>
      <c r="Q64" s="229"/>
      <c r="R64" s="229"/>
      <c r="S64" s="229"/>
      <c r="T64" s="229"/>
      <c r="U64" s="256"/>
    </row>
    <row r="65" spans="1:22" s="291" customFormat="1" hidden="1" x14ac:dyDescent="0.2">
      <c r="A65" s="290"/>
      <c r="C65" s="256"/>
      <c r="D65" s="256"/>
      <c r="E65" s="256"/>
      <c r="F65" s="254"/>
      <c r="G65" s="255"/>
      <c r="H65" s="255"/>
      <c r="I65" s="255"/>
      <c r="J65" s="255"/>
      <c r="K65" s="293"/>
      <c r="L65" s="229"/>
      <c r="M65" s="229"/>
      <c r="N65" s="229"/>
      <c r="O65" s="229"/>
      <c r="P65" s="229"/>
      <c r="Q65" s="229"/>
      <c r="R65" s="229"/>
      <c r="S65" s="229"/>
      <c r="T65" s="229"/>
      <c r="U65" s="256"/>
    </row>
    <row r="66" spans="1:22" s="291" customFormat="1" hidden="1" x14ac:dyDescent="0.2">
      <c r="A66" s="290"/>
      <c r="C66" s="256"/>
      <c r="D66" s="256"/>
      <c r="E66" s="256"/>
      <c r="F66" s="254"/>
      <c r="G66" s="255"/>
      <c r="H66" s="255"/>
      <c r="I66" s="255"/>
      <c r="J66" s="255"/>
      <c r="K66" s="293"/>
      <c r="L66" s="229"/>
      <c r="M66" s="229"/>
      <c r="N66" s="229"/>
      <c r="O66" s="229"/>
      <c r="P66" s="229"/>
      <c r="Q66" s="229"/>
      <c r="R66" s="229"/>
      <c r="S66" s="229"/>
      <c r="T66" s="229"/>
      <c r="U66" s="292"/>
    </row>
    <row r="67" spans="1:22" s="291" customFormat="1" hidden="1" x14ac:dyDescent="0.2">
      <c r="A67" s="290"/>
      <c r="F67" s="290"/>
      <c r="G67" s="267"/>
      <c r="K67" s="293"/>
      <c r="U67" s="292"/>
    </row>
    <row r="68" spans="1:22" s="291" customFormat="1" hidden="1" x14ac:dyDescent="0.2">
      <c r="A68" s="290"/>
      <c r="F68" s="290"/>
      <c r="G68" s="267"/>
      <c r="K68" s="293"/>
      <c r="U68" s="292"/>
    </row>
    <row r="69" spans="1:22" s="291" customFormat="1" hidden="1" x14ac:dyDescent="0.2">
      <c r="A69" s="290"/>
      <c r="F69" s="290"/>
      <c r="G69" s="267"/>
      <c r="K69" s="293"/>
      <c r="U69" s="292"/>
    </row>
    <row r="70" spans="1:22" s="291" customFormat="1" hidden="1" x14ac:dyDescent="0.2">
      <c r="A70" s="290"/>
      <c r="F70" s="290"/>
      <c r="G70" s="267"/>
      <c r="K70" s="293"/>
      <c r="U70" s="292"/>
    </row>
    <row r="71" spans="1:22" s="291" customFormat="1" hidden="1" x14ac:dyDescent="0.2">
      <c r="A71" s="290"/>
      <c r="F71" s="290"/>
      <c r="G71" s="267"/>
      <c r="K71" s="293"/>
      <c r="U71" s="292"/>
    </row>
    <row r="72" spans="1:22" s="291" customFormat="1" hidden="1" x14ac:dyDescent="0.2">
      <c r="A72" s="290"/>
      <c r="F72" s="290"/>
      <c r="G72" s="267"/>
      <c r="K72" s="293"/>
      <c r="U72" s="292"/>
    </row>
    <row r="73" spans="1:22" s="291" customFormat="1" hidden="1" x14ac:dyDescent="0.2">
      <c r="A73" s="290"/>
      <c r="F73" s="290"/>
      <c r="G73" s="267"/>
      <c r="K73" s="293"/>
      <c r="U73" s="292"/>
    </row>
    <row r="74" spans="1:22" s="255" customFormat="1" hidden="1" x14ac:dyDescent="0.2">
      <c r="A74" s="254"/>
      <c r="C74" s="291"/>
      <c r="D74" s="291"/>
      <c r="E74" s="291"/>
      <c r="F74" s="290"/>
      <c r="G74" s="267"/>
      <c r="H74" s="291"/>
      <c r="I74" s="291"/>
      <c r="J74" s="291"/>
      <c r="K74" s="293"/>
      <c r="L74" s="291"/>
      <c r="M74" s="291"/>
      <c r="N74" s="291"/>
      <c r="O74" s="291"/>
      <c r="P74" s="291"/>
      <c r="Q74" s="291"/>
      <c r="R74" s="291"/>
      <c r="S74" s="291"/>
      <c r="T74" s="291"/>
      <c r="U74" s="292"/>
    </row>
    <row r="75" spans="1:22" s="255" customFormat="1" hidden="1" x14ac:dyDescent="0.2">
      <c r="A75" s="254"/>
      <c r="C75" s="291"/>
      <c r="D75" s="291"/>
      <c r="E75" s="291"/>
      <c r="F75" s="290"/>
      <c r="G75" s="267"/>
      <c r="H75" s="291"/>
      <c r="I75" s="291"/>
      <c r="J75" s="291"/>
      <c r="K75" s="293"/>
      <c r="L75" s="291"/>
      <c r="M75" s="291"/>
      <c r="N75" s="291"/>
      <c r="O75" s="291"/>
      <c r="P75" s="291"/>
      <c r="Q75" s="291"/>
      <c r="R75" s="291"/>
      <c r="S75" s="291"/>
      <c r="T75" s="291"/>
      <c r="U75" s="292"/>
    </row>
    <row r="76" spans="1:22" s="255" customFormat="1" hidden="1" x14ac:dyDescent="0.2">
      <c r="A76" s="254"/>
      <c r="C76" s="291"/>
      <c r="D76" s="291"/>
      <c r="E76" s="291"/>
      <c r="F76" s="290"/>
      <c r="G76" s="267"/>
      <c r="H76" s="291"/>
      <c r="I76" s="291"/>
      <c r="J76" s="291"/>
      <c r="K76" s="293"/>
      <c r="L76" s="291"/>
      <c r="M76" s="291"/>
      <c r="N76" s="291"/>
      <c r="O76" s="291"/>
      <c r="P76" s="291"/>
      <c r="Q76" s="291"/>
      <c r="R76" s="291"/>
      <c r="S76" s="291"/>
      <c r="T76" s="291"/>
      <c r="U76" s="292"/>
    </row>
    <row r="77" spans="1:22" s="255" customFormat="1" hidden="1" x14ac:dyDescent="0.2">
      <c r="A77" s="254"/>
      <c r="C77" s="291"/>
      <c r="D77" s="291"/>
      <c r="E77" s="291"/>
      <c r="F77" s="290"/>
      <c r="G77" s="267"/>
      <c r="H77" s="291"/>
      <c r="I77" s="291"/>
      <c r="J77" s="291"/>
      <c r="K77" s="293"/>
      <c r="L77" s="291"/>
      <c r="M77" s="291"/>
      <c r="N77" s="291"/>
      <c r="O77" s="291"/>
      <c r="P77" s="291"/>
      <c r="Q77" s="291"/>
      <c r="R77" s="291"/>
      <c r="S77" s="291"/>
      <c r="T77" s="291"/>
      <c r="U77" s="292"/>
    </row>
    <row r="78" spans="1:22" s="255" customFormat="1" hidden="1" x14ac:dyDescent="0.2">
      <c r="A78" s="254"/>
      <c r="C78" s="291"/>
      <c r="D78" s="291"/>
      <c r="E78" s="291"/>
      <c r="F78" s="290"/>
      <c r="G78" s="267"/>
      <c r="H78" s="291"/>
      <c r="I78" s="291"/>
      <c r="J78" s="291"/>
      <c r="K78" s="293"/>
      <c r="L78" s="256" t="s">
        <v>14</v>
      </c>
      <c r="M78" s="256" t="s">
        <v>14</v>
      </c>
      <c r="N78" s="256" t="s">
        <v>14</v>
      </c>
      <c r="O78" s="256" t="s">
        <v>14</v>
      </c>
      <c r="P78" s="291"/>
      <c r="Q78" s="291"/>
      <c r="R78" s="291"/>
      <c r="S78" s="291"/>
      <c r="T78" s="291"/>
      <c r="V78" s="255" t="s">
        <v>19</v>
      </c>
    </row>
    <row r="79" spans="1:22" s="255" customFormat="1" hidden="1" x14ac:dyDescent="0.2">
      <c r="A79" s="254"/>
      <c r="C79" s="256"/>
      <c r="D79" s="256"/>
      <c r="E79" s="256"/>
      <c r="F79" s="254"/>
      <c r="K79" s="293"/>
      <c r="L79" s="256" t="s">
        <v>87</v>
      </c>
      <c r="M79" s="256" t="s">
        <v>87</v>
      </c>
      <c r="N79" s="256" t="s">
        <v>87</v>
      </c>
      <c r="O79" s="256"/>
      <c r="P79" s="229"/>
      <c r="Q79" s="229"/>
      <c r="R79" s="229"/>
      <c r="S79" s="229"/>
      <c r="T79" s="229"/>
    </row>
    <row r="80" spans="1:22" s="255" customFormat="1" hidden="1" x14ac:dyDescent="0.2">
      <c r="A80" s="254"/>
      <c r="C80" s="256"/>
      <c r="D80" s="256"/>
      <c r="E80" s="256" t="s">
        <v>2</v>
      </c>
      <c r="F80" s="254"/>
      <c r="G80" s="255" t="e">
        <f>SUMIF(#REF!,"=Oticon AS",G$12:G$20)</f>
        <v>#REF!</v>
      </c>
      <c r="H80" s="294" t="e">
        <f>SUMIF(#REF!,"=OT",H$12:H$20)</f>
        <v>#REF!</v>
      </c>
      <c r="I80" s="294" t="e">
        <f>SUMIF(#REF!,"=Oticon AS",I$12:I$20)</f>
        <v>#REF!</v>
      </c>
      <c r="J80" s="294" t="e">
        <f>SUMIF(#REF!,"=Oticon AS",J$12:J$20)</f>
        <v>#REF!</v>
      </c>
      <c r="K80" s="315" t="e">
        <f>SUMIF(#REF!,"=Oticon AS",K$12:K$20)</f>
        <v>#REF!</v>
      </c>
      <c r="L80" s="295" t="e">
        <f t="shared" ref="L80:N88" si="13">G80/G$89</f>
        <v>#REF!</v>
      </c>
      <c r="M80" s="295" t="e">
        <f t="shared" si="13"/>
        <v>#REF!</v>
      </c>
      <c r="N80" s="295" t="e">
        <f t="shared" si="13"/>
        <v>#REF!</v>
      </c>
      <c r="O80" s="295" t="e">
        <f t="shared" ref="O80:O88" si="14">K80/K$89</f>
        <v>#REF!</v>
      </c>
      <c r="P80" s="294" t="e">
        <f>SUMIF(#REF!,"=Oticon AS",P$12:P$20)</f>
        <v>#REF!</v>
      </c>
      <c r="Q80" s="296"/>
      <c r="R80" s="296"/>
      <c r="S80" s="296"/>
      <c r="T80" s="296"/>
      <c r="U80" s="294" t="e">
        <f>SUMIF(#REF!,"=Oticon AS",U$12:U$20)</f>
        <v>#REF!</v>
      </c>
      <c r="V80" s="255" t="e">
        <f t="shared" ref="V80:V88" si="15">P80/P$89</f>
        <v>#REF!</v>
      </c>
    </row>
    <row r="81" spans="1:22" s="255" customFormat="1" hidden="1" x14ac:dyDescent="0.2">
      <c r="A81" s="254"/>
      <c r="C81" s="256"/>
      <c r="D81" s="256"/>
      <c r="E81" s="256" t="s">
        <v>3</v>
      </c>
      <c r="F81" s="254"/>
      <c r="G81" s="255" t="e">
        <f>SUMIF(#REF!,"=Phonak AS",G$12:G$20)</f>
        <v>#REF!</v>
      </c>
      <c r="H81" s="294" t="e">
        <f>SUMIF(#REF!,"=PK",H$12:H$20)</f>
        <v>#REF!</v>
      </c>
      <c r="I81" s="294" t="e">
        <f>SUMIF(#REF!,"=Phonak AS",I$12:I$20)</f>
        <v>#REF!</v>
      </c>
      <c r="J81" s="294" t="e">
        <f>SUMIF(#REF!,"=Phonak AS",J$12:J$20)</f>
        <v>#REF!</v>
      </c>
      <c r="K81" s="315" t="e">
        <f>SUMIF(#REF!,"=Phonak AS",K$12:K$20)</f>
        <v>#REF!</v>
      </c>
      <c r="L81" s="295" t="e">
        <f t="shared" si="13"/>
        <v>#REF!</v>
      </c>
      <c r="M81" s="295" t="e">
        <f t="shared" si="13"/>
        <v>#REF!</v>
      </c>
      <c r="N81" s="295" t="e">
        <f t="shared" si="13"/>
        <v>#REF!</v>
      </c>
      <c r="O81" s="295" t="e">
        <f t="shared" si="14"/>
        <v>#REF!</v>
      </c>
      <c r="P81" s="294" t="e">
        <f>SUMIF(#REF!,"=Phonak AS",P$12:P$20)</f>
        <v>#REF!</v>
      </c>
      <c r="Q81" s="261"/>
      <c r="R81" s="261"/>
      <c r="S81" s="261"/>
      <c r="T81" s="261"/>
      <c r="U81" s="294" t="e">
        <f>SUMIF(#REF!,"=Phonak AS",U$12:U$20)</f>
        <v>#REF!</v>
      </c>
      <c r="V81" s="255" t="e">
        <f t="shared" si="15"/>
        <v>#REF!</v>
      </c>
    </row>
    <row r="82" spans="1:22" s="255" customFormat="1" hidden="1" x14ac:dyDescent="0.2">
      <c r="A82" s="254"/>
      <c r="C82" s="256"/>
      <c r="D82" s="256"/>
      <c r="E82" s="256" t="s">
        <v>1</v>
      </c>
      <c r="F82" s="254"/>
      <c r="G82" s="255" t="e">
        <f>SUMIF(#REF!,"=Medisan",G$12:G$20)</f>
        <v>#REF!</v>
      </c>
      <c r="H82" s="294" t="e">
        <f>SUMIF(#REF!,"=MI",H$12:H$20)</f>
        <v>#REF!</v>
      </c>
      <c r="I82" s="294" t="e">
        <f>SUMIF(#REF!,"=Medisan",I$12:I$20)</f>
        <v>#REF!</v>
      </c>
      <c r="J82" s="294" t="e">
        <f>SUMIF(#REF!,"=Medisan",J$12:J$20)</f>
        <v>#REF!</v>
      </c>
      <c r="K82" s="315" t="e">
        <f>SUMIF(#REF!,"=Medisan",K$12:K$20)</f>
        <v>#REF!</v>
      </c>
      <c r="L82" s="295" t="e">
        <f t="shared" si="13"/>
        <v>#REF!</v>
      </c>
      <c r="M82" s="295" t="e">
        <f t="shared" si="13"/>
        <v>#REF!</v>
      </c>
      <c r="N82" s="295" t="e">
        <f t="shared" si="13"/>
        <v>#REF!</v>
      </c>
      <c r="O82" s="295" t="e">
        <f t="shared" si="14"/>
        <v>#REF!</v>
      </c>
      <c r="P82" s="294" t="e">
        <f>SUMIF(#REF!,"=Medisan",P$12:P$20)</f>
        <v>#REF!</v>
      </c>
      <c r="Q82" s="296"/>
      <c r="R82" s="296"/>
      <c r="S82" s="296"/>
      <c r="T82" s="296"/>
      <c r="U82" s="294" t="e">
        <f>SUMIF(#REF!,"=Medisan",U$12:U$20)</f>
        <v>#REF!</v>
      </c>
      <c r="V82" s="255" t="e">
        <f>P82/P$89</f>
        <v>#REF!</v>
      </c>
    </row>
    <row r="83" spans="1:22" s="255" customFormat="1" hidden="1" x14ac:dyDescent="0.2">
      <c r="A83" s="254"/>
      <c r="C83" s="256"/>
      <c r="D83" s="256"/>
      <c r="E83" s="256" t="s">
        <v>58</v>
      </c>
      <c r="F83" s="254"/>
      <c r="G83" s="255" t="e">
        <f>SUMIF(#REF!,"=GN ReSound Norge AS",G$12:G$20)</f>
        <v>#REF!</v>
      </c>
      <c r="H83" s="294" t="e">
        <f>SUMIF(#REF!,"=GN",H$12:H$20)</f>
        <v>#REF!</v>
      </c>
      <c r="I83" s="294" t="e">
        <f>SUMIF(#REF!,"=GN ReSound Norge AS",I$12:I$20)</f>
        <v>#REF!</v>
      </c>
      <c r="J83" s="294" t="e">
        <f>SUMIF(#REF!,"=GN ReSound Norge AS",J$12:J$20)</f>
        <v>#REF!</v>
      </c>
      <c r="K83" s="315" t="e">
        <f>SUMIF(#REF!,"=GN ReSound Norge AS",K$12:K$20)</f>
        <v>#REF!</v>
      </c>
      <c r="L83" s="295" t="e">
        <f t="shared" si="13"/>
        <v>#REF!</v>
      </c>
      <c r="M83" s="295" t="e">
        <f t="shared" si="13"/>
        <v>#REF!</v>
      </c>
      <c r="N83" s="295" t="e">
        <f t="shared" si="13"/>
        <v>#REF!</v>
      </c>
      <c r="O83" s="295" t="e">
        <f t="shared" si="14"/>
        <v>#REF!</v>
      </c>
      <c r="P83" s="294" t="e">
        <f>SUMIF(#REF!,"=GN ReSound Norge AS",P$12:P$20)</f>
        <v>#REF!</v>
      </c>
      <c r="Q83" s="296"/>
      <c r="R83" s="296"/>
      <c r="S83" s="296"/>
      <c r="T83" s="296"/>
      <c r="U83" s="294" t="e">
        <f>SUMIF(#REF!,"=GN ReSound Norge AS",U$12:U$20)</f>
        <v>#REF!</v>
      </c>
      <c r="V83" s="255" t="e">
        <f>P83/P$89</f>
        <v>#REF!</v>
      </c>
    </row>
    <row r="84" spans="1:22" s="255" customFormat="1" hidden="1" x14ac:dyDescent="0.2">
      <c r="A84" s="254"/>
      <c r="C84" s="256"/>
      <c r="D84" s="256"/>
      <c r="E84" s="256" t="s">
        <v>0</v>
      </c>
      <c r="F84" s="254"/>
      <c r="G84" s="255" t="e">
        <f>SUMIF(#REF!,"=Gewa AS",G$12:G$20)</f>
        <v>#REF!</v>
      </c>
      <c r="H84" s="294" t="e">
        <f>SUMIF(#REF!,"=GW",H$12:H$20)</f>
        <v>#REF!</v>
      </c>
      <c r="I84" s="294" t="e">
        <f>SUMIF(#REF!,"=Gewa AS",I$12:I$20)</f>
        <v>#REF!</v>
      </c>
      <c r="J84" s="294" t="e">
        <f>SUMIF(#REF!,"=GW",J$12:J$20)</f>
        <v>#REF!</v>
      </c>
      <c r="K84" s="315" t="e">
        <f>SUMIF(#REF!,"=Gewa AS",K$12:K$20)</f>
        <v>#REF!</v>
      </c>
      <c r="L84" s="295" t="e">
        <f t="shared" si="13"/>
        <v>#REF!</v>
      </c>
      <c r="M84" s="295" t="e">
        <f t="shared" si="13"/>
        <v>#REF!</v>
      </c>
      <c r="N84" s="295" t="e">
        <f t="shared" si="13"/>
        <v>#REF!</v>
      </c>
      <c r="O84" s="295" t="e">
        <f t="shared" si="14"/>
        <v>#REF!</v>
      </c>
      <c r="P84" s="294" t="e">
        <f>SUMIF(#REF!,"=Gewa AS",P$12:P$20)</f>
        <v>#REF!</v>
      </c>
      <c r="Q84" s="296"/>
      <c r="R84" s="296"/>
      <c r="S84" s="296"/>
      <c r="T84" s="296"/>
      <c r="U84" s="294" t="e">
        <f>SUMIF(#REF!,"=Gewa AS",U$12:U$20)</f>
        <v>#REF!</v>
      </c>
      <c r="V84" s="255" t="e">
        <f>P84/P$89</f>
        <v>#REF!</v>
      </c>
    </row>
    <row r="85" spans="1:22" s="255" customFormat="1" hidden="1" x14ac:dyDescent="0.2">
      <c r="A85" s="254"/>
      <c r="C85" s="256"/>
      <c r="D85" s="256"/>
      <c r="E85" s="256" t="s">
        <v>83</v>
      </c>
      <c r="F85" s="254"/>
      <c r="G85" s="255" t="e">
        <f>SUMIF(#REF!,"=Siemens Høreapparater AS",G$12:G$20)</f>
        <v>#REF!</v>
      </c>
      <c r="H85" s="294" t="e">
        <f>SUMIF(#REF!,"=SIE",H$12:H$20)</f>
        <v>#REF!</v>
      </c>
      <c r="I85" s="294" t="e">
        <f>SUMIF(#REF!,"=Siemens Høreapparater AS",I$12:I$20)</f>
        <v>#REF!</v>
      </c>
      <c r="J85" s="294" t="e">
        <f>SUMIF(#REF!,"=Siemens Høreapparater AS",J$12:J$20)</f>
        <v>#REF!</v>
      </c>
      <c r="K85" s="315" t="e">
        <f>SUMIF(#REF!,"=Siemens Høreapparater AS",K$12:K$20)</f>
        <v>#REF!</v>
      </c>
      <c r="L85" s="295" t="e">
        <f t="shared" si="13"/>
        <v>#REF!</v>
      </c>
      <c r="M85" s="295" t="e">
        <f t="shared" si="13"/>
        <v>#REF!</v>
      </c>
      <c r="N85" s="295" t="e">
        <f t="shared" si="13"/>
        <v>#REF!</v>
      </c>
      <c r="O85" s="295" t="e">
        <f t="shared" si="14"/>
        <v>#REF!</v>
      </c>
      <c r="P85" s="294" t="e">
        <f>SUMIF(#REF!,"=Siemens Høreapparater AS",P$12:P$20)</f>
        <v>#REF!</v>
      </c>
      <c r="Q85" s="261"/>
      <c r="R85" s="261"/>
      <c r="S85" s="261"/>
      <c r="T85" s="261"/>
      <c r="U85" s="294" t="e">
        <f>SUMIF(#REF!,"=Siemens Høreapparater AS",U$12:U$20)</f>
        <v>#REF!</v>
      </c>
      <c r="V85" s="255" t="e">
        <f>P85/P$89</f>
        <v>#REF!</v>
      </c>
    </row>
    <row r="86" spans="1:22" s="255" customFormat="1" hidden="1" x14ac:dyDescent="0.2">
      <c r="A86" s="254"/>
      <c r="C86" s="256"/>
      <c r="D86" s="256"/>
      <c r="E86" s="256" t="s">
        <v>20</v>
      </c>
      <c r="F86" s="254"/>
      <c r="G86" s="255" t="e">
        <f>SUMIF(#REF!,"=Medus AS",G$12:G$20)</f>
        <v>#REF!</v>
      </c>
      <c r="H86" s="294" t="e">
        <f>SUMIF(#REF!,"=MU",H$12:H$20)</f>
        <v>#REF!</v>
      </c>
      <c r="I86" s="294" t="e">
        <f>SUMIF(#REF!,"=Medus AS",I$12:I$20)</f>
        <v>#REF!</v>
      </c>
      <c r="J86" s="294" t="e">
        <f>SUMIF(#REF!,"=MU",J$12:J$20)</f>
        <v>#REF!</v>
      </c>
      <c r="K86" s="315" t="e">
        <f>SUMIF(#REF!,"=Medus AS",K$12:K$20)</f>
        <v>#REF!</v>
      </c>
      <c r="L86" s="295" t="e">
        <f t="shared" si="13"/>
        <v>#REF!</v>
      </c>
      <c r="M86" s="295" t="e">
        <f t="shared" si="13"/>
        <v>#REF!</v>
      </c>
      <c r="N86" s="295" t="e">
        <f t="shared" si="13"/>
        <v>#REF!</v>
      </c>
      <c r="O86" s="295" t="e">
        <f t="shared" si="14"/>
        <v>#REF!</v>
      </c>
      <c r="P86" s="294" t="e">
        <f>SUMIF(#REF!,"=Medus AS",P$12:P$20)</f>
        <v>#REF!</v>
      </c>
      <c r="Q86" s="296"/>
      <c r="R86" s="296"/>
      <c r="S86" s="296"/>
      <c r="T86" s="296"/>
      <c r="U86" s="294" t="e">
        <f>SUMIF(#REF!,"=Medus AS",U$12:U$20)</f>
        <v>#REF!</v>
      </c>
      <c r="V86" s="255" t="e">
        <f t="shared" si="15"/>
        <v>#REF!</v>
      </c>
    </row>
    <row r="87" spans="1:22" s="255" customFormat="1" hidden="1" x14ac:dyDescent="0.2">
      <c r="A87" s="254"/>
      <c r="C87" s="256"/>
      <c r="D87" s="256"/>
      <c r="E87" s="256" t="s">
        <v>4</v>
      </c>
      <c r="F87" s="254"/>
      <c r="G87" s="255" t="e">
        <f>SUMIF(#REF!,"=Starkey Norway AS",G$12:G$20)</f>
        <v>#REF!</v>
      </c>
      <c r="H87" s="294" t="e">
        <f>SUMIF(#REF!,"=ST",H$12:H$20)</f>
        <v>#REF!</v>
      </c>
      <c r="I87" s="294" t="e">
        <f>SUMIF(#REF!,"=Starkey Norway AS",I$12:I$20)</f>
        <v>#REF!</v>
      </c>
      <c r="J87" s="294" t="e">
        <f>SUMIF(#REF!,"=Starkey Norway AS",J$12:J$20)</f>
        <v>#REF!</v>
      </c>
      <c r="K87" s="315" t="e">
        <f>SUMIF(#REF!,"=Starkey Norway AS",K$12:K$20)</f>
        <v>#REF!</v>
      </c>
      <c r="L87" s="295" t="e">
        <f t="shared" si="13"/>
        <v>#REF!</v>
      </c>
      <c r="M87" s="295" t="e">
        <f t="shared" si="13"/>
        <v>#REF!</v>
      </c>
      <c r="N87" s="295" t="e">
        <f t="shared" si="13"/>
        <v>#REF!</v>
      </c>
      <c r="O87" s="295" t="e">
        <f t="shared" si="14"/>
        <v>#REF!</v>
      </c>
      <c r="P87" s="294" t="e">
        <f>SUMIF(#REF!,"=Starkey Norway AS",P$12:$P$20)</f>
        <v>#REF!</v>
      </c>
      <c r="Q87" s="296"/>
      <c r="R87" s="296"/>
      <c r="S87" s="296"/>
      <c r="T87" s="296"/>
      <c r="U87" s="294" t="e">
        <f>SUMIF(#REF!,"=Starkey Norway AS",$P$12:U$20)</f>
        <v>#REF!</v>
      </c>
      <c r="V87" s="255" t="e">
        <f t="shared" si="15"/>
        <v>#REF!</v>
      </c>
    </row>
    <row r="88" spans="1:22" s="255" customFormat="1" hidden="1" x14ac:dyDescent="0.2">
      <c r="A88" s="254"/>
      <c r="C88" s="256"/>
      <c r="D88" s="256"/>
      <c r="E88" s="256" t="s">
        <v>26</v>
      </c>
      <c r="F88" s="254"/>
      <c r="G88" s="255" t="e">
        <f>SUMIF(#REF!,"=Unitron Hearing AS",G$12:G$20)</f>
        <v>#REF!</v>
      </c>
      <c r="H88" s="294" t="e">
        <f>SUMIF(#REF!,"=UNI",H$12:H$20)</f>
        <v>#REF!</v>
      </c>
      <c r="I88" s="294" t="e">
        <f>SUMIF(#REF!,"=Unitron Hearing AS",I$12:I$20)</f>
        <v>#REF!</v>
      </c>
      <c r="J88" s="294" t="e">
        <f>SUMIF(#REF!,"=Unitron Hearing AS",J$12:J$20)</f>
        <v>#REF!</v>
      </c>
      <c r="K88" s="315" t="e">
        <f>SUMIF(#REF!,"=Unitron Hearing AS",K$12:K$20)</f>
        <v>#REF!</v>
      </c>
      <c r="L88" s="295" t="e">
        <f t="shared" si="13"/>
        <v>#REF!</v>
      </c>
      <c r="M88" s="295" t="e">
        <f t="shared" si="13"/>
        <v>#REF!</v>
      </c>
      <c r="N88" s="295" t="e">
        <f t="shared" si="13"/>
        <v>#REF!</v>
      </c>
      <c r="O88" s="295" t="e">
        <f t="shared" si="14"/>
        <v>#REF!</v>
      </c>
      <c r="P88" s="294" t="e">
        <f>SUMIF(#REF!,"=Unitron Hearing AS",P$12:P$20)</f>
        <v>#REF!</v>
      </c>
      <c r="Q88" s="296"/>
      <c r="R88" s="296"/>
      <c r="S88" s="296"/>
      <c r="T88" s="296"/>
      <c r="U88" s="294" t="e">
        <f>SUMIF(#REF!,"=Unitron Hearing AS",U$12:U$20)</f>
        <v>#REF!</v>
      </c>
      <c r="V88" s="255" t="e">
        <f t="shared" si="15"/>
        <v>#REF!</v>
      </c>
    </row>
    <row r="89" spans="1:22" s="255" customFormat="1" ht="13.5" hidden="1" thickBot="1" x14ac:dyDescent="0.25">
      <c r="A89" s="254"/>
      <c r="C89" s="297"/>
      <c r="D89" s="297"/>
      <c r="E89" s="297" t="s">
        <v>5</v>
      </c>
      <c r="F89" s="298"/>
      <c r="G89" s="299" t="e">
        <f t="shared" ref="G89:M89" si="16">SUM(G80:G88)</f>
        <v>#REF!</v>
      </c>
      <c r="H89" s="299" t="e">
        <f t="shared" si="16"/>
        <v>#REF!</v>
      </c>
      <c r="I89" s="299" t="e">
        <f t="shared" si="16"/>
        <v>#REF!</v>
      </c>
      <c r="J89" s="299" t="e">
        <f t="shared" si="16"/>
        <v>#REF!</v>
      </c>
      <c r="K89" s="316" t="e">
        <f t="shared" si="16"/>
        <v>#REF!</v>
      </c>
      <c r="L89" s="300" t="e">
        <f t="shared" si="16"/>
        <v>#REF!</v>
      </c>
      <c r="M89" s="300" t="e">
        <f t="shared" si="16"/>
        <v>#REF!</v>
      </c>
      <c r="N89" s="300"/>
      <c r="O89" s="300"/>
      <c r="P89" s="263" t="e">
        <f>SUM(P80:P88)</f>
        <v>#REF!</v>
      </c>
      <c r="Q89" s="263">
        <f>SUM(Q80:Q88)</f>
        <v>0</v>
      </c>
      <c r="R89" s="263">
        <f>SUM(R80:R88)</f>
        <v>0</v>
      </c>
      <c r="S89" s="263">
        <f>SUM(S80:S88)</f>
        <v>0</v>
      </c>
      <c r="T89" s="263"/>
      <c r="U89" s="299" t="e">
        <f>SUM(U80:U88)</f>
        <v>#REF!</v>
      </c>
      <c r="V89" s="255" t="e">
        <f>SUM(V80:V88)</f>
        <v>#REF!</v>
      </c>
    </row>
    <row r="90" spans="1:22" s="255" customFormat="1" hidden="1" x14ac:dyDescent="0.2">
      <c r="A90" s="254"/>
      <c r="C90" s="256"/>
      <c r="D90" s="256"/>
      <c r="E90" s="256"/>
      <c r="F90" s="254"/>
      <c r="K90" s="293"/>
      <c r="L90" s="229"/>
      <c r="M90" s="229"/>
      <c r="N90" s="229"/>
      <c r="O90" s="229"/>
      <c r="P90" s="229"/>
      <c r="Q90" s="229"/>
      <c r="R90" s="229"/>
      <c r="S90" s="229"/>
      <c r="T90" s="229"/>
      <c r="U90" s="256"/>
    </row>
    <row r="91" spans="1:22" s="255" customFormat="1" hidden="1" x14ac:dyDescent="0.2">
      <c r="A91" s="254"/>
      <c r="C91" s="256"/>
      <c r="D91" s="256"/>
      <c r="E91" s="256"/>
      <c r="F91" s="254"/>
      <c r="K91" s="293"/>
      <c r="L91" s="229"/>
      <c r="M91" s="229"/>
      <c r="N91" s="229"/>
      <c r="O91" s="229"/>
      <c r="P91" s="229"/>
      <c r="Q91" s="229"/>
      <c r="R91" s="229"/>
      <c r="S91" s="229"/>
      <c r="T91" s="229"/>
    </row>
    <row r="92" spans="1:22" s="255" customFormat="1" hidden="1" x14ac:dyDescent="0.2">
      <c r="A92" s="254"/>
      <c r="C92" s="256"/>
      <c r="D92" s="256"/>
      <c r="E92" s="256"/>
      <c r="F92" s="254"/>
      <c r="K92" s="293"/>
      <c r="L92" s="229"/>
      <c r="M92" s="229"/>
      <c r="N92" s="229"/>
      <c r="O92" s="229"/>
      <c r="P92" s="229"/>
      <c r="Q92" s="229"/>
      <c r="R92" s="229"/>
      <c r="S92" s="229"/>
      <c r="T92" s="229"/>
    </row>
    <row r="93" spans="1:22" s="255" customFormat="1" hidden="1" x14ac:dyDescent="0.2">
      <c r="A93" s="254"/>
      <c r="C93" s="256"/>
      <c r="D93" s="256"/>
      <c r="E93" s="256"/>
      <c r="F93" s="254"/>
      <c r="K93" s="293"/>
      <c r="L93" s="229"/>
      <c r="M93" s="229"/>
      <c r="N93" s="229"/>
      <c r="O93" s="229"/>
      <c r="P93" s="229"/>
      <c r="Q93" s="229"/>
      <c r="R93" s="229"/>
      <c r="S93" s="229"/>
      <c r="T93" s="229"/>
    </row>
    <row r="94" spans="1:22" s="255" customFormat="1" x14ac:dyDescent="0.2">
      <c r="A94" s="254"/>
      <c r="C94" s="256"/>
      <c r="D94" s="256"/>
      <c r="E94" s="256"/>
      <c r="F94" s="254"/>
      <c r="K94" s="293"/>
      <c r="L94" s="229"/>
      <c r="M94" s="229"/>
      <c r="N94" s="229"/>
      <c r="O94" s="229"/>
      <c r="P94" s="229"/>
      <c r="Q94" s="229"/>
      <c r="R94" s="229"/>
      <c r="S94" s="229"/>
      <c r="T94" s="229"/>
    </row>
    <row r="95" spans="1:22" s="255" customFormat="1" x14ac:dyDescent="0.2">
      <c r="A95" s="254"/>
      <c r="C95" s="256"/>
      <c r="D95" s="256"/>
      <c r="E95" s="256"/>
      <c r="F95" s="254"/>
      <c r="K95" s="293"/>
      <c r="L95" s="229"/>
      <c r="M95" s="229"/>
      <c r="N95" s="229"/>
      <c r="O95" s="229"/>
      <c r="P95" s="229"/>
      <c r="Q95" s="229"/>
      <c r="R95" s="229"/>
      <c r="S95" s="229"/>
      <c r="T95" s="229"/>
    </row>
    <row r="96" spans="1:22" s="255" customFormat="1" x14ac:dyDescent="0.2">
      <c r="A96" s="254"/>
      <c r="C96" s="256"/>
      <c r="D96" s="256"/>
      <c r="E96" s="256"/>
      <c r="F96" s="254"/>
      <c r="K96" s="293"/>
      <c r="L96" s="229"/>
      <c r="M96" s="229"/>
      <c r="N96" s="229"/>
      <c r="O96" s="229"/>
      <c r="P96" s="229"/>
      <c r="Q96" s="229"/>
      <c r="R96" s="229"/>
      <c r="S96" s="229"/>
      <c r="T96" s="229"/>
    </row>
    <row r="97" spans="1:20" s="255" customFormat="1" x14ac:dyDescent="0.2">
      <c r="A97" s="254"/>
      <c r="C97" s="256"/>
      <c r="D97" s="256"/>
      <c r="E97" s="256"/>
      <c r="F97" s="254"/>
      <c r="K97" s="293"/>
      <c r="L97" s="229"/>
      <c r="M97" s="229"/>
      <c r="N97" s="229"/>
      <c r="O97" s="229"/>
      <c r="P97" s="229"/>
      <c r="Q97" s="229"/>
      <c r="R97" s="229"/>
      <c r="S97" s="229"/>
      <c r="T97" s="229"/>
    </row>
    <row r="98" spans="1:20" s="255" customFormat="1" x14ac:dyDescent="0.2">
      <c r="A98" s="254"/>
      <c r="C98" s="256"/>
      <c r="D98" s="256"/>
      <c r="E98" s="256"/>
      <c r="F98" s="254"/>
      <c r="K98" s="293"/>
      <c r="L98" s="229"/>
      <c r="M98" s="229"/>
      <c r="N98" s="229"/>
      <c r="O98" s="229"/>
      <c r="P98" s="229"/>
      <c r="Q98" s="229"/>
      <c r="R98" s="229"/>
      <c r="S98" s="229"/>
      <c r="T98" s="229"/>
    </row>
    <row r="99" spans="1:20" s="255" customFormat="1" x14ac:dyDescent="0.2">
      <c r="A99" s="254"/>
      <c r="C99" s="256"/>
      <c r="D99" s="256"/>
      <c r="E99" s="256"/>
      <c r="F99" s="254"/>
      <c r="K99" s="293"/>
      <c r="L99" s="229"/>
      <c r="M99" s="229"/>
      <c r="N99" s="229"/>
      <c r="O99" s="229"/>
      <c r="P99" s="229"/>
      <c r="Q99" s="229"/>
      <c r="R99" s="229"/>
      <c r="S99" s="229"/>
      <c r="T99" s="229"/>
    </row>
    <row r="100" spans="1:20" s="255" customFormat="1" x14ac:dyDescent="0.2">
      <c r="A100" s="254"/>
      <c r="C100" s="256"/>
      <c r="D100" s="256"/>
      <c r="E100" s="256"/>
      <c r="F100" s="254"/>
      <c r="K100" s="293"/>
      <c r="L100" s="229"/>
      <c r="M100" s="229"/>
      <c r="N100" s="229"/>
      <c r="O100" s="229"/>
      <c r="P100" s="229"/>
      <c r="Q100" s="229"/>
      <c r="R100" s="229"/>
      <c r="S100" s="229"/>
      <c r="T100" s="229"/>
    </row>
    <row r="101" spans="1:20" s="255" customFormat="1" x14ac:dyDescent="0.2">
      <c r="A101" s="254"/>
      <c r="C101" s="256"/>
      <c r="D101" s="256"/>
      <c r="E101" s="256"/>
      <c r="F101" s="254"/>
      <c r="K101" s="293"/>
      <c r="L101" s="229"/>
      <c r="M101" s="229"/>
      <c r="N101" s="229"/>
      <c r="O101" s="229"/>
      <c r="P101" s="229"/>
      <c r="Q101" s="229"/>
      <c r="R101" s="229"/>
      <c r="S101" s="229"/>
      <c r="T101" s="229"/>
    </row>
    <row r="102" spans="1:20" s="255" customFormat="1" x14ac:dyDescent="0.2">
      <c r="A102" s="254"/>
      <c r="C102" s="256"/>
      <c r="D102" s="256"/>
      <c r="E102" s="256"/>
      <c r="F102" s="254"/>
      <c r="K102" s="293"/>
      <c r="L102" s="229"/>
      <c r="M102" s="229"/>
      <c r="N102" s="229"/>
      <c r="O102" s="229"/>
      <c r="P102" s="229"/>
      <c r="Q102" s="229"/>
      <c r="R102" s="229"/>
      <c r="S102" s="229"/>
      <c r="T102" s="229"/>
    </row>
    <row r="103" spans="1:20" s="255" customFormat="1" x14ac:dyDescent="0.2">
      <c r="A103" s="254"/>
      <c r="C103" s="256"/>
      <c r="D103" s="256"/>
      <c r="E103" s="256"/>
      <c r="F103" s="254"/>
      <c r="K103" s="293"/>
      <c r="L103" s="229"/>
      <c r="M103" s="229"/>
      <c r="N103" s="229"/>
      <c r="O103" s="229"/>
      <c r="P103" s="229"/>
      <c r="Q103" s="229"/>
      <c r="R103" s="229"/>
      <c r="S103" s="229"/>
      <c r="T103" s="229"/>
    </row>
    <row r="104" spans="1:20" s="255" customFormat="1" x14ac:dyDescent="0.2">
      <c r="A104" s="254"/>
      <c r="C104" s="256"/>
      <c r="D104" s="256"/>
      <c r="E104" s="256"/>
      <c r="F104" s="254"/>
      <c r="K104" s="293"/>
      <c r="L104" s="229"/>
      <c r="M104" s="229"/>
      <c r="N104" s="229"/>
      <c r="O104" s="229"/>
      <c r="P104" s="229"/>
      <c r="Q104" s="229"/>
      <c r="R104" s="229"/>
      <c r="S104" s="229"/>
      <c r="T104" s="229"/>
    </row>
    <row r="105" spans="1:20" s="255" customFormat="1" x14ac:dyDescent="0.2">
      <c r="A105" s="254"/>
      <c r="C105" s="256"/>
      <c r="D105" s="256"/>
      <c r="E105" s="256"/>
      <c r="F105" s="254"/>
      <c r="K105" s="293"/>
      <c r="L105" s="229"/>
      <c r="M105" s="229"/>
      <c r="N105" s="229"/>
      <c r="O105" s="229"/>
      <c r="P105" s="229"/>
      <c r="Q105" s="229"/>
      <c r="R105" s="229"/>
      <c r="S105" s="229"/>
      <c r="T105" s="229"/>
    </row>
    <row r="106" spans="1:20" s="255" customFormat="1" x14ac:dyDescent="0.2">
      <c r="A106" s="254"/>
      <c r="C106" s="256"/>
      <c r="D106" s="256"/>
      <c r="E106" s="256"/>
      <c r="F106" s="254"/>
      <c r="K106" s="293"/>
      <c r="L106" s="229"/>
      <c r="M106" s="229"/>
      <c r="N106" s="229"/>
      <c r="O106" s="229"/>
      <c r="P106" s="229"/>
      <c r="Q106" s="229"/>
      <c r="R106" s="229"/>
      <c r="S106" s="229"/>
      <c r="T106" s="229"/>
    </row>
    <row r="107" spans="1:20" s="255" customFormat="1" x14ac:dyDescent="0.2">
      <c r="A107" s="254"/>
      <c r="C107" s="256"/>
      <c r="D107" s="256"/>
      <c r="E107" s="256"/>
      <c r="F107" s="254"/>
      <c r="K107" s="293"/>
      <c r="L107" s="229"/>
      <c r="M107" s="229"/>
      <c r="N107" s="229"/>
      <c r="O107" s="229"/>
      <c r="P107" s="229"/>
      <c r="Q107" s="229"/>
      <c r="R107" s="229"/>
      <c r="S107" s="229"/>
      <c r="T107" s="229"/>
    </row>
    <row r="108" spans="1:20" s="255" customFormat="1" x14ac:dyDescent="0.2">
      <c r="A108" s="254"/>
      <c r="C108" s="256"/>
      <c r="D108" s="256"/>
      <c r="E108" s="256"/>
      <c r="F108" s="254"/>
      <c r="K108" s="293"/>
      <c r="L108" s="229"/>
      <c r="M108" s="229"/>
      <c r="N108" s="229"/>
      <c r="O108" s="229"/>
      <c r="P108" s="229"/>
      <c r="Q108" s="229"/>
      <c r="R108" s="229"/>
      <c r="S108" s="229"/>
      <c r="T108" s="229"/>
    </row>
    <row r="109" spans="1:20" s="255" customFormat="1" x14ac:dyDescent="0.2">
      <c r="A109" s="254"/>
      <c r="C109" s="256"/>
      <c r="D109" s="256"/>
      <c r="E109" s="256"/>
      <c r="F109" s="254"/>
      <c r="K109" s="293"/>
      <c r="L109" s="229"/>
      <c r="M109" s="229"/>
      <c r="N109" s="229"/>
      <c r="O109" s="229"/>
      <c r="P109" s="229"/>
      <c r="Q109" s="229"/>
      <c r="R109" s="229"/>
      <c r="S109" s="229"/>
      <c r="T109" s="229"/>
    </row>
    <row r="110" spans="1:20" s="255" customFormat="1" x14ac:dyDescent="0.2">
      <c r="A110" s="254"/>
      <c r="C110" s="256"/>
      <c r="D110" s="256"/>
      <c r="E110" s="256"/>
      <c r="F110" s="254"/>
      <c r="K110" s="293"/>
      <c r="L110" s="229"/>
      <c r="M110" s="229"/>
      <c r="N110" s="229"/>
      <c r="O110" s="229"/>
      <c r="P110" s="229"/>
      <c r="Q110" s="229"/>
      <c r="R110" s="229"/>
      <c r="S110" s="229"/>
      <c r="T110" s="229"/>
    </row>
    <row r="111" spans="1:20" s="255" customFormat="1" x14ac:dyDescent="0.2">
      <c r="A111" s="254"/>
      <c r="C111" s="256"/>
      <c r="D111" s="256"/>
      <c r="E111" s="256"/>
      <c r="F111" s="254"/>
      <c r="K111" s="293"/>
      <c r="L111" s="229"/>
      <c r="M111" s="229"/>
      <c r="N111" s="229"/>
      <c r="O111" s="229"/>
      <c r="P111" s="229"/>
      <c r="Q111" s="229"/>
      <c r="R111" s="229"/>
      <c r="S111" s="229"/>
      <c r="T111" s="229"/>
    </row>
    <row r="112" spans="1:20" s="255" customFormat="1" x14ac:dyDescent="0.2">
      <c r="A112" s="254"/>
      <c r="C112" s="256"/>
      <c r="D112" s="256"/>
      <c r="E112" s="256"/>
      <c r="F112" s="254"/>
      <c r="K112" s="293"/>
      <c r="L112" s="229"/>
      <c r="M112" s="229"/>
      <c r="N112" s="229"/>
      <c r="O112" s="229"/>
      <c r="P112" s="229"/>
      <c r="Q112" s="229"/>
      <c r="R112" s="229"/>
      <c r="S112" s="229"/>
      <c r="T112" s="229"/>
    </row>
    <row r="113" spans="1:20" s="255" customFormat="1" x14ac:dyDescent="0.2">
      <c r="A113" s="254"/>
      <c r="C113" s="256"/>
      <c r="D113" s="256"/>
      <c r="E113" s="256"/>
      <c r="F113" s="254"/>
      <c r="K113" s="293"/>
      <c r="L113" s="229"/>
      <c r="M113" s="229"/>
      <c r="N113" s="229"/>
      <c r="O113" s="229"/>
      <c r="P113" s="229"/>
      <c r="Q113" s="229"/>
      <c r="R113" s="229"/>
      <c r="S113" s="229"/>
      <c r="T113" s="229"/>
    </row>
    <row r="114" spans="1:20" s="255" customFormat="1" x14ac:dyDescent="0.2">
      <c r="A114" s="254"/>
      <c r="C114" s="256"/>
      <c r="D114" s="256"/>
      <c r="E114" s="256"/>
      <c r="F114" s="254"/>
      <c r="K114" s="293"/>
      <c r="L114" s="229"/>
      <c r="M114" s="229"/>
      <c r="N114" s="229"/>
      <c r="O114" s="229"/>
      <c r="P114" s="229"/>
      <c r="Q114" s="229"/>
      <c r="R114" s="229"/>
      <c r="S114" s="229"/>
      <c r="T114" s="229"/>
    </row>
    <row r="115" spans="1:20" s="255" customFormat="1" x14ac:dyDescent="0.2">
      <c r="A115" s="254"/>
      <c r="C115" s="256"/>
      <c r="D115" s="256"/>
      <c r="E115" s="256"/>
      <c r="F115" s="254"/>
      <c r="K115" s="293"/>
      <c r="L115" s="229"/>
      <c r="M115" s="229"/>
      <c r="N115" s="229"/>
      <c r="O115" s="229"/>
      <c r="P115" s="229"/>
      <c r="Q115" s="229"/>
      <c r="R115" s="229"/>
      <c r="S115" s="229"/>
      <c r="T115" s="229"/>
    </row>
    <row r="116" spans="1:20" s="255" customFormat="1" x14ac:dyDescent="0.2">
      <c r="A116" s="254"/>
      <c r="C116" s="256"/>
      <c r="D116" s="256"/>
      <c r="E116" s="256"/>
      <c r="F116" s="254"/>
      <c r="K116" s="293"/>
      <c r="L116" s="229"/>
      <c r="M116" s="229"/>
      <c r="N116" s="229"/>
      <c r="O116" s="229"/>
      <c r="P116" s="229"/>
      <c r="Q116" s="229"/>
      <c r="R116" s="229"/>
      <c r="S116" s="229"/>
      <c r="T116" s="229"/>
    </row>
    <row r="117" spans="1:20" s="255" customFormat="1" x14ac:dyDescent="0.2">
      <c r="A117" s="254"/>
      <c r="C117" s="256"/>
      <c r="D117" s="256"/>
      <c r="E117" s="256"/>
      <c r="F117" s="254"/>
      <c r="K117" s="293"/>
      <c r="L117" s="229"/>
      <c r="M117" s="229"/>
      <c r="N117" s="229"/>
      <c r="O117" s="229"/>
      <c r="P117" s="229"/>
      <c r="Q117" s="229"/>
      <c r="R117" s="229"/>
      <c r="S117" s="229"/>
      <c r="T117" s="229"/>
    </row>
    <row r="118" spans="1:20" s="255" customFormat="1" x14ac:dyDescent="0.2">
      <c r="A118" s="254"/>
      <c r="C118" s="256"/>
      <c r="D118" s="256"/>
      <c r="E118" s="256"/>
      <c r="F118" s="254"/>
      <c r="K118" s="293"/>
      <c r="L118" s="229"/>
      <c r="M118" s="229"/>
      <c r="N118" s="229"/>
      <c r="O118" s="229"/>
      <c r="P118" s="229"/>
      <c r="Q118" s="229"/>
      <c r="R118" s="229"/>
      <c r="S118" s="229"/>
      <c r="T118" s="229"/>
    </row>
    <row r="119" spans="1:20" s="255" customFormat="1" x14ac:dyDescent="0.2">
      <c r="A119" s="254"/>
      <c r="C119" s="256"/>
      <c r="D119" s="256"/>
      <c r="E119" s="256"/>
      <c r="F119" s="254"/>
      <c r="K119" s="293"/>
      <c r="L119" s="229"/>
      <c r="M119" s="229"/>
      <c r="N119" s="229"/>
      <c r="O119" s="229"/>
      <c r="P119" s="229"/>
      <c r="Q119" s="229"/>
      <c r="R119" s="229"/>
      <c r="S119" s="229"/>
      <c r="T119" s="229"/>
    </row>
    <row r="120" spans="1:20" s="255" customFormat="1" x14ac:dyDescent="0.2">
      <c r="A120" s="254"/>
      <c r="C120" s="256"/>
      <c r="D120" s="256"/>
      <c r="E120" s="256"/>
      <c r="F120" s="254"/>
      <c r="K120" s="293"/>
      <c r="L120" s="229"/>
      <c r="M120" s="229"/>
      <c r="N120" s="229"/>
      <c r="O120" s="229"/>
      <c r="P120" s="229"/>
      <c r="Q120" s="229"/>
      <c r="R120" s="229"/>
      <c r="S120" s="229"/>
      <c r="T120" s="229"/>
    </row>
    <row r="121" spans="1:20" s="255" customFormat="1" x14ac:dyDescent="0.2">
      <c r="A121" s="254"/>
      <c r="C121" s="256"/>
      <c r="D121" s="256"/>
      <c r="E121" s="256"/>
      <c r="F121" s="254"/>
      <c r="K121" s="293"/>
      <c r="L121" s="229"/>
      <c r="M121" s="229"/>
      <c r="N121" s="229"/>
      <c r="O121" s="229"/>
      <c r="P121" s="229"/>
      <c r="Q121" s="229"/>
      <c r="R121" s="229"/>
      <c r="S121" s="229"/>
      <c r="T121" s="229"/>
    </row>
    <row r="122" spans="1:20" s="255" customFormat="1" x14ac:dyDescent="0.2">
      <c r="A122" s="254"/>
      <c r="C122" s="256"/>
      <c r="D122" s="256"/>
      <c r="E122" s="256"/>
      <c r="F122" s="254"/>
      <c r="K122" s="293"/>
      <c r="L122" s="229"/>
      <c r="M122" s="229"/>
      <c r="N122" s="229"/>
      <c r="O122" s="229"/>
      <c r="P122" s="229"/>
      <c r="Q122" s="229"/>
      <c r="R122" s="229"/>
      <c r="S122" s="229"/>
      <c r="T122" s="229"/>
    </row>
    <row r="123" spans="1:20" s="255" customFormat="1" x14ac:dyDescent="0.2">
      <c r="A123" s="254"/>
      <c r="C123" s="256"/>
      <c r="D123" s="256"/>
      <c r="E123" s="256"/>
      <c r="F123" s="254"/>
      <c r="K123" s="293"/>
      <c r="L123" s="229"/>
      <c r="M123" s="229"/>
      <c r="N123" s="229"/>
      <c r="O123" s="229"/>
      <c r="P123" s="229"/>
      <c r="Q123" s="229"/>
      <c r="R123" s="229"/>
      <c r="S123" s="229"/>
      <c r="T123" s="229"/>
    </row>
    <row r="124" spans="1:20" s="255" customFormat="1" x14ac:dyDescent="0.2">
      <c r="A124" s="254"/>
      <c r="C124" s="256"/>
      <c r="D124" s="256"/>
      <c r="E124" s="256"/>
      <c r="F124" s="254"/>
      <c r="K124" s="293"/>
      <c r="L124" s="229"/>
      <c r="M124" s="229"/>
      <c r="N124" s="229"/>
      <c r="O124" s="229"/>
      <c r="P124" s="229"/>
      <c r="Q124" s="229"/>
      <c r="R124" s="229"/>
      <c r="S124" s="229"/>
      <c r="T124" s="229"/>
    </row>
    <row r="125" spans="1:20" s="255" customFormat="1" x14ac:dyDescent="0.2">
      <c r="A125" s="254"/>
      <c r="C125" s="256"/>
      <c r="D125" s="256"/>
      <c r="E125" s="256"/>
      <c r="F125" s="254"/>
      <c r="K125" s="293"/>
      <c r="L125" s="229"/>
      <c r="M125" s="229"/>
      <c r="N125" s="229"/>
      <c r="O125" s="229"/>
      <c r="P125" s="229"/>
      <c r="Q125" s="229"/>
      <c r="R125" s="229"/>
      <c r="S125" s="229"/>
      <c r="T125" s="229"/>
    </row>
    <row r="126" spans="1:20" s="255" customFormat="1" x14ac:dyDescent="0.2">
      <c r="A126" s="254"/>
      <c r="C126" s="256"/>
      <c r="D126" s="256"/>
      <c r="E126" s="256"/>
      <c r="F126" s="254"/>
      <c r="K126" s="293"/>
      <c r="L126" s="229"/>
      <c r="M126" s="229"/>
      <c r="N126" s="229"/>
      <c r="O126" s="229"/>
      <c r="P126" s="229"/>
      <c r="Q126" s="229"/>
      <c r="R126" s="229"/>
      <c r="S126" s="229"/>
      <c r="T126" s="229"/>
    </row>
    <row r="127" spans="1:20" s="255" customFormat="1" x14ac:dyDescent="0.2">
      <c r="A127" s="254"/>
      <c r="C127" s="256"/>
      <c r="D127" s="256"/>
      <c r="E127" s="256"/>
      <c r="F127" s="254"/>
      <c r="K127" s="293"/>
      <c r="L127" s="229"/>
      <c r="M127" s="229"/>
      <c r="N127" s="229"/>
      <c r="O127" s="229"/>
      <c r="P127" s="229"/>
      <c r="Q127" s="229"/>
      <c r="R127" s="229"/>
      <c r="S127" s="229"/>
      <c r="T127" s="229"/>
    </row>
    <row r="128" spans="1:20" s="255" customFormat="1" x14ac:dyDescent="0.2">
      <c r="A128" s="254"/>
      <c r="C128" s="256"/>
      <c r="D128" s="256"/>
      <c r="E128" s="256"/>
      <c r="F128" s="254"/>
      <c r="K128" s="293"/>
      <c r="L128" s="229"/>
      <c r="M128" s="229"/>
      <c r="N128" s="229"/>
      <c r="O128" s="229"/>
      <c r="P128" s="229"/>
      <c r="Q128" s="229"/>
      <c r="R128" s="229"/>
      <c r="S128" s="229"/>
      <c r="T128" s="229"/>
    </row>
    <row r="129" spans="1:20" s="255" customFormat="1" x14ac:dyDescent="0.2">
      <c r="A129" s="254"/>
      <c r="C129" s="256"/>
      <c r="D129" s="256"/>
      <c r="E129" s="256"/>
      <c r="F129" s="254"/>
      <c r="K129" s="293"/>
      <c r="L129" s="229"/>
      <c r="M129" s="229"/>
      <c r="N129" s="229"/>
      <c r="O129" s="229"/>
      <c r="P129" s="229"/>
      <c r="Q129" s="229"/>
      <c r="R129" s="229"/>
      <c r="S129" s="229"/>
      <c r="T129" s="229"/>
    </row>
    <row r="130" spans="1:20" s="255" customFormat="1" x14ac:dyDescent="0.2">
      <c r="A130" s="254"/>
      <c r="C130" s="256"/>
      <c r="D130" s="256"/>
      <c r="E130" s="256"/>
      <c r="F130" s="254"/>
      <c r="K130" s="293"/>
      <c r="L130" s="229"/>
      <c r="M130" s="229"/>
      <c r="N130" s="229"/>
      <c r="O130" s="229"/>
      <c r="P130" s="229"/>
      <c r="Q130" s="229"/>
      <c r="R130" s="229"/>
      <c r="S130" s="229"/>
      <c r="T130" s="229"/>
    </row>
    <row r="131" spans="1:20" s="255" customFormat="1" x14ac:dyDescent="0.2">
      <c r="A131" s="254"/>
      <c r="C131" s="256"/>
      <c r="D131" s="256"/>
      <c r="E131" s="256"/>
      <c r="F131" s="254"/>
      <c r="K131" s="293"/>
      <c r="L131" s="229"/>
      <c r="M131" s="229"/>
      <c r="N131" s="229"/>
      <c r="O131" s="229"/>
      <c r="P131" s="229"/>
      <c r="Q131" s="229"/>
      <c r="R131" s="229"/>
      <c r="S131" s="229"/>
      <c r="T131" s="229"/>
    </row>
    <row r="132" spans="1:20" s="255" customFormat="1" x14ac:dyDescent="0.2">
      <c r="A132" s="254"/>
      <c r="C132" s="256"/>
      <c r="D132" s="256"/>
      <c r="E132" s="256"/>
      <c r="F132" s="254"/>
      <c r="K132" s="293"/>
      <c r="L132" s="229"/>
      <c r="M132" s="229"/>
      <c r="N132" s="229"/>
      <c r="O132" s="229"/>
      <c r="P132" s="229"/>
      <c r="Q132" s="229"/>
      <c r="R132" s="229"/>
      <c r="S132" s="229"/>
      <c r="T132" s="229"/>
    </row>
    <row r="133" spans="1:20" s="255" customFormat="1" x14ac:dyDescent="0.2">
      <c r="A133" s="254"/>
      <c r="C133" s="256"/>
      <c r="D133" s="256"/>
      <c r="E133" s="256"/>
      <c r="F133" s="254"/>
      <c r="K133" s="293"/>
      <c r="L133" s="229"/>
      <c r="M133" s="229"/>
      <c r="N133" s="229"/>
      <c r="O133" s="229"/>
      <c r="P133" s="229"/>
      <c r="Q133" s="229"/>
      <c r="R133" s="229"/>
      <c r="S133" s="229"/>
      <c r="T133" s="229"/>
    </row>
    <row r="134" spans="1:20" s="255" customFormat="1" x14ac:dyDescent="0.2">
      <c r="A134" s="254"/>
      <c r="C134" s="256"/>
      <c r="D134" s="256"/>
      <c r="E134" s="256"/>
      <c r="F134" s="254"/>
      <c r="K134" s="293"/>
      <c r="L134" s="229"/>
      <c r="M134" s="229"/>
      <c r="N134" s="229"/>
      <c r="O134" s="229"/>
      <c r="P134" s="229"/>
      <c r="Q134" s="229"/>
      <c r="R134" s="229"/>
      <c r="S134" s="229"/>
      <c r="T134" s="229"/>
    </row>
    <row r="135" spans="1:20" s="255" customFormat="1" x14ac:dyDescent="0.2">
      <c r="A135" s="254"/>
      <c r="C135" s="256"/>
      <c r="D135" s="256"/>
      <c r="E135" s="256"/>
      <c r="F135" s="254"/>
      <c r="K135" s="293"/>
      <c r="L135" s="229"/>
      <c r="M135" s="229"/>
      <c r="N135" s="229"/>
      <c r="O135" s="229"/>
      <c r="P135" s="229"/>
      <c r="Q135" s="229"/>
      <c r="R135" s="229"/>
      <c r="S135" s="229"/>
      <c r="T135" s="229"/>
    </row>
    <row r="136" spans="1:20" s="255" customFormat="1" x14ac:dyDescent="0.2">
      <c r="A136" s="254"/>
      <c r="C136" s="256"/>
      <c r="D136" s="256"/>
      <c r="E136" s="256"/>
      <c r="F136" s="254"/>
      <c r="K136" s="293"/>
      <c r="L136" s="229"/>
      <c r="M136" s="229"/>
      <c r="N136" s="229"/>
      <c r="O136" s="229"/>
      <c r="P136" s="229"/>
      <c r="Q136" s="229"/>
      <c r="R136" s="229"/>
      <c r="S136" s="229"/>
      <c r="T136" s="229"/>
    </row>
    <row r="137" spans="1:20" s="255" customFormat="1" x14ac:dyDescent="0.2">
      <c r="A137" s="254"/>
      <c r="C137" s="256"/>
      <c r="D137" s="256"/>
      <c r="E137" s="256"/>
      <c r="F137" s="254"/>
      <c r="K137" s="293"/>
      <c r="L137" s="229"/>
      <c r="M137" s="229"/>
      <c r="N137" s="229"/>
      <c r="O137" s="229"/>
      <c r="P137" s="229"/>
      <c r="Q137" s="229"/>
      <c r="R137" s="229"/>
      <c r="S137" s="229"/>
      <c r="T137" s="229"/>
    </row>
    <row r="138" spans="1:20" s="255" customFormat="1" x14ac:dyDescent="0.2">
      <c r="A138" s="254"/>
      <c r="C138" s="256"/>
      <c r="D138" s="256"/>
      <c r="E138" s="256"/>
      <c r="F138" s="254"/>
      <c r="K138" s="293"/>
      <c r="L138" s="229"/>
      <c r="M138" s="229"/>
      <c r="N138" s="229"/>
      <c r="O138" s="229"/>
      <c r="P138" s="229"/>
      <c r="Q138" s="229"/>
      <c r="R138" s="229"/>
      <c r="S138" s="229"/>
      <c r="T138" s="229"/>
    </row>
    <row r="139" spans="1:20" s="255" customFormat="1" x14ac:dyDescent="0.2">
      <c r="A139" s="254"/>
      <c r="C139" s="256"/>
      <c r="D139" s="256"/>
      <c r="E139" s="256"/>
      <c r="F139" s="254"/>
      <c r="K139" s="293"/>
      <c r="L139" s="229"/>
      <c r="M139" s="229"/>
      <c r="N139" s="229"/>
      <c r="O139" s="229"/>
      <c r="P139" s="229"/>
      <c r="Q139" s="229"/>
      <c r="R139" s="229"/>
      <c r="S139" s="229"/>
      <c r="T139" s="229"/>
    </row>
    <row r="140" spans="1:20" s="255" customFormat="1" x14ac:dyDescent="0.2">
      <c r="A140" s="254"/>
      <c r="C140" s="256"/>
      <c r="D140" s="256"/>
      <c r="E140" s="256"/>
      <c r="F140" s="254"/>
      <c r="K140" s="293"/>
      <c r="L140" s="229"/>
      <c r="M140" s="229"/>
      <c r="N140" s="229"/>
      <c r="O140" s="229"/>
      <c r="P140" s="229"/>
      <c r="Q140" s="229"/>
      <c r="R140" s="229"/>
      <c r="S140" s="229"/>
      <c r="T140" s="229"/>
    </row>
    <row r="141" spans="1:20" s="255" customFormat="1" x14ac:dyDescent="0.2">
      <c r="A141" s="254"/>
      <c r="C141" s="256"/>
      <c r="D141" s="256"/>
      <c r="E141" s="256"/>
      <c r="F141" s="254"/>
      <c r="K141" s="293"/>
      <c r="L141" s="229"/>
      <c r="M141" s="229"/>
      <c r="N141" s="229"/>
      <c r="O141" s="229"/>
      <c r="P141" s="229"/>
      <c r="Q141" s="229"/>
      <c r="R141" s="229"/>
      <c r="S141" s="229"/>
      <c r="T141" s="229"/>
    </row>
    <row r="142" spans="1:20" s="255" customFormat="1" x14ac:dyDescent="0.2">
      <c r="A142" s="254"/>
      <c r="C142" s="256"/>
      <c r="D142" s="256"/>
      <c r="E142" s="256"/>
      <c r="F142" s="254"/>
      <c r="K142" s="293"/>
      <c r="L142" s="229"/>
      <c r="M142" s="229"/>
      <c r="N142" s="229"/>
      <c r="O142" s="229"/>
      <c r="P142" s="229"/>
      <c r="Q142" s="229"/>
      <c r="R142" s="229"/>
      <c r="S142" s="229"/>
      <c r="T142" s="229"/>
    </row>
    <row r="143" spans="1:20" s="255" customFormat="1" x14ac:dyDescent="0.2">
      <c r="A143" s="254"/>
      <c r="C143" s="256"/>
      <c r="D143" s="256"/>
      <c r="E143" s="256"/>
      <c r="F143" s="254"/>
      <c r="K143" s="293"/>
      <c r="L143" s="229"/>
      <c r="M143" s="229"/>
      <c r="N143" s="229"/>
      <c r="O143" s="229"/>
      <c r="P143" s="229"/>
      <c r="Q143" s="229"/>
      <c r="R143" s="229"/>
      <c r="S143" s="229"/>
      <c r="T143" s="229"/>
    </row>
    <row r="144" spans="1:20" s="255" customFormat="1" x14ac:dyDescent="0.2">
      <c r="A144" s="254"/>
      <c r="C144" s="256"/>
      <c r="D144" s="256"/>
      <c r="E144" s="256"/>
      <c r="F144" s="254"/>
      <c r="K144" s="293"/>
      <c r="L144" s="229"/>
      <c r="M144" s="229"/>
      <c r="N144" s="229"/>
      <c r="O144" s="229"/>
      <c r="P144" s="229"/>
      <c r="Q144" s="229"/>
      <c r="R144" s="229"/>
      <c r="S144" s="229"/>
      <c r="T144" s="229"/>
    </row>
    <row r="145" spans="1:20" s="255" customFormat="1" x14ac:dyDescent="0.2">
      <c r="A145" s="254"/>
      <c r="C145" s="256"/>
      <c r="D145" s="256"/>
      <c r="E145" s="256"/>
      <c r="F145" s="254"/>
      <c r="K145" s="293"/>
      <c r="L145" s="229"/>
      <c r="M145" s="229"/>
      <c r="N145" s="229"/>
      <c r="O145" s="229"/>
      <c r="P145" s="229"/>
      <c r="Q145" s="229"/>
      <c r="R145" s="229"/>
      <c r="S145" s="229"/>
      <c r="T145" s="229"/>
    </row>
    <row r="146" spans="1:20" s="255" customFormat="1" x14ac:dyDescent="0.2">
      <c r="A146" s="254"/>
      <c r="C146" s="256"/>
      <c r="D146" s="256"/>
      <c r="E146" s="256"/>
      <c r="F146" s="254"/>
      <c r="K146" s="293"/>
      <c r="L146" s="229"/>
      <c r="M146" s="229"/>
      <c r="N146" s="229"/>
      <c r="O146" s="229"/>
      <c r="P146" s="229"/>
      <c r="Q146" s="229"/>
      <c r="R146" s="229"/>
      <c r="S146" s="229"/>
      <c r="T146" s="229"/>
    </row>
    <row r="147" spans="1:20" s="255" customFormat="1" x14ac:dyDescent="0.2">
      <c r="A147" s="254"/>
      <c r="C147" s="256"/>
      <c r="D147" s="256"/>
      <c r="E147" s="256"/>
      <c r="F147" s="254"/>
      <c r="K147" s="293"/>
      <c r="L147" s="229"/>
      <c r="M147" s="229"/>
      <c r="N147" s="229"/>
      <c r="O147" s="229"/>
      <c r="P147" s="229"/>
      <c r="Q147" s="229"/>
      <c r="R147" s="229"/>
      <c r="S147" s="229"/>
      <c r="T147" s="229"/>
    </row>
    <row r="148" spans="1:20" s="255" customFormat="1" x14ac:dyDescent="0.2">
      <c r="A148" s="254"/>
      <c r="C148" s="256"/>
      <c r="D148" s="256"/>
      <c r="E148" s="256"/>
      <c r="F148" s="254"/>
      <c r="K148" s="293"/>
      <c r="L148" s="229"/>
      <c r="M148" s="229"/>
      <c r="N148" s="229"/>
      <c r="O148" s="229"/>
      <c r="P148" s="229"/>
      <c r="Q148" s="229"/>
      <c r="R148" s="229"/>
      <c r="S148" s="229"/>
      <c r="T148" s="229"/>
    </row>
    <row r="149" spans="1:20" s="255" customFormat="1" x14ac:dyDescent="0.2">
      <c r="A149" s="254"/>
      <c r="C149" s="256"/>
      <c r="D149" s="256"/>
      <c r="E149" s="256"/>
      <c r="F149" s="254"/>
      <c r="K149" s="293"/>
      <c r="L149" s="229"/>
      <c r="M149" s="229"/>
      <c r="N149" s="229"/>
      <c r="O149" s="229"/>
      <c r="P149" s="229"/>
      <c r="Q149" s="229"/>
      <c r="R149" s="229"/>
      <c r="S149" s="229"/>
      <c r="T149" s="229"/>
    </row>
    <row r="150" spans="1:20" s="255" customFormat="1" x14ac:dyDescent="0.2">
      <c r="A150" s="254"/>
      <c r="C150" s="256"/>
      <c r="D150" s="256"/>
      <c r="E150" s="256"/>
      <c r="F150" s="254"/>
      <c r="K150" s="293"/>
      <c r="L150" s="229"/>
      <c r="M150" s="229"/>
      <c r="N150" s="229"/>
      <c r="O150" s="229"/>
      <c r="P150" s="229"/>
      <c r="Q150" s="229"/>
      <c r="R150" s="229"/>
      <c r="S150" s="229"/>
      <c r="T150" s="229"/>
    </row>
    <row r="151" spans="1:20" s="255" customFormat="1" x14ac:dyDescent="0.2">
      <c r="A151" s="254"/>
      <c r="C151" s="256"/>
      <c r="D151" s="256"/>
      <c r="E151" s="256"/>
      <c r="F151" s="254"/>
      <c r="K151" s="293"/>
      <c r="L151" s="229"/>
      <c r="M151" s="229"/>
      <c r="N151" s="229"/>
      <c r="O151" s="229"/>
      <c r="P151" s="229"/>
      <c r="Q151" s="229"/>
      <c r="R151" s="229"/>
      <c r="S151" s="229"/>
      <c r="T151" s="229"/>
    </row>
    <row r="152" spans="1:20" s="255" customFormat="1" x14ac:dyDescent="0.2">
      <c r="A152" s="254"/>
      <c r="C152" s="256"/>
      <c r="D152" s="256"/>
      <c r="E152" s="256"/>
      <c r="F152" s="254"/>
      <c r="K152" s="293"/>
      <c r="L152" s="229"/>
      <c r="M152" s="229"/>
      <c r="N152" s="229"/>
      <c r="O152" s="229"/>
      <c r="P152" s="229"/>
      <c r="Q152" s="229"/>
      <c r="R152" s="229"/>
      <c r="S152" s="229"/>
      <c r="T152" s="229"/>
    </row>
    <row r="153" spans="1:20" s="255" customFormat="1" x14ac:dyDescent="0.2">
      <c r="A153" s="254"/>
      <c r="C153" s="256"/>
      <c r="D153" s="256"/>
      <c r="E153" s="256"/>
      <c r="F153" s="254"/>
      <c r="K153" s="293"/>
      <c r="L153" s="229"/>
      <c r="M153" s="229"/>
      <c r="N153" s="229"/>
      <c r="O153" s="229"/>
      <c r="P153" s="229"/>
      <c r="Q153" s="229"/>
      <c r="R153" s="229"/>
      <c r="S153" s="229"/>
      <c r="T153" s="229"/>
    </row>
    <row r="154" spans="1:20" s="255" customFormat="1" x14ac:dyDescent="0.2">
      <c r="A154" s="254"/>
      <c r="C154" s="256"/>
      <c r="D154" s="256"/>
      <c r="E154" s="256"/>
      <c r="F154" s="254"/>
      <c r="K154" s="293"/>
      <c r="L154" s="229"/>
      <c r="M154" s="229"/>
      <c r="N154" s="229"/>
      <c r="O154" s="229"/>
      <c r="P154" s="229"/>
      <c r="Q154" s="229"/>
      <c r="R154" s="229"/>
      <c r="S154" s="229"/>
      <c r="T154" s="229"/>
    </row>
    <row r="155" spans="1:20" s="255" customFormat="1" x14ac:dyDescent="0.2">
      <c r="A155" s="254"/>
      <c r="C155" s="256"/>
      <c r="D155" s="256"/>
      <c r="E155" s="256"/>
      <c r="F155" s="254"/>
      <c r="K155" s="293"/>
      <c r="L155" s="229"/>
      <c r="M155" s="229"/>
      <c r="N155" s="229"/>
      <c r="O155" s="229"/>
      <c r="P155" s="229"/>
      <c r="Q155" s="229"/>
      <c r="R155" s="229"/>
      <c r="S155" s="229"/>
      <c r="T155" s="229"/>
    </row>
    <row r="156" spans="1:20" s="255" customFormat="1" x14ac:dyDescent="0.2">
      <c r="A156" s="254"/>
      <c r="C156" s="256"/>
      <c r="D156" s="256"/>
      <c r="E156" s="256"/>
      <c r="F156" s="254"/>
      <c r="K156" s="293"/>
      <c r="L156" s="229"/>
      <c r="M156" s="229"/>
      <c r="N156" s="229"/>
      <c r="O156" s="229"/>
      <c r="P156" s="229"/>
      <c r="Q156" s="229"/>
      <c r="R156" s="229"/>
      <c r="S156" s="229"/>
      <c r="T156" s="229"/>
    </row>
    <row r="157" spans="1:20" s="255" customFormat="1" x14ac:dyDescent="0.2">
      <c r="A157" s="254"/>
      <c r="C157" s="256"/>
      <c r="D157" s="256"/>
      <c r="E157" s="256"/>
      <c r="F157" s="254"/>
      <c r="K157" s="293"/>
      <c r="L157" s="229"/>
      <c r="M157" s="229"/>
      <c r="N157" s="229"/>
      <c r="O157" s="229"/>
      <c r="P157" s="229"/>
      <c r="Q157" s="229"/>
      <c r="R157" s="229"/>
      <c r="S157" s="229"/>
      <c r="T157" s="229"/>
    </row>
    <row r="158" spans="1:20" s="255" customFormat="1" x14ac:dyDescent="0.2">
      <c r="A158" s="254"/>
      <c r="C158" s="256"/>
      <c r="D158" s="256"/>
      <c r="E158" s="256"/>
      <c r="F158" s="254"/>
      <c r="K158" s="293"/>
      <c r="L158" s="229"/>
      <c r="M158" s="229"/>
      <c r="N158" s="229"/>
      <c r="O158" s="229"/>
      <c r="P158" s="229"/>
      <c r="Q158" s="229"/>
      <c r="R158" s="229"/>
      <c r="S158" s="229"/>
      <c r="T158" s="229"/>
    </row>
    <row r="159" spans="1:20" s="255" customFormat="1" x14ac:dyDescent="0.2">
      <c r="A159" s="254"/>
      <c r="C159" s="256"/>
      <c r="D159" s="256"/>
      <c r="E159" s="256"/>
      <c r="F159" s="254"/>
      <c r="K159" s="293"/>
      <c r="L159" s="229"/>
      <c r="M159" s="229"/>
      <c r="N159" s="229"/>
      <c r="O159" s="229"/>
      <c r="P159" s="229"/>
      <c r="Q159" s="229"/>
      <c r="R159" s="229"/>
      <c r="S159" s="229"/>
      <c r="T159" s="229"/>
    </row>
    <row r="160" spans="1:20" s="255" customFormat="1" x14ac:dyDescent="0.2">
      <c r="A160" s="254"/>
      <c r="C160" s="256"/>
      <c r="D160" s="256"/>
      <c r="E160" s="256"/>
      <c r="F160" s="254"/>
      <c r="K160" s="293"/>
      <c r="L160" s="229"/>
      <c r="M160" s="229"/>
      <c r="N160" s="229"/>
      <c r="O160" s="229"/>
      <c r="P160" s="229"/>
      <c r="Q160" s="229"/>
      <c r="R160" s="229"/>
      <c r="S160" s="229"/>
      <c r="T160" s="229"/>
    </row>
    <row r="161" spans="1:20" s="255" customFormat="1" x14ac:dyDescent="0.2">
      <c r="A161" s="254"/>
      <c r="C161" s="256"/>
      <c r="D161" s="256"/>
      <c r="E161" s="256"/>
      <c r="F161" s="254"/>
      <c r="K161" s="293"/>
      <c r="L161" s="229"/>
      <c r="M161" s="229"/>
      <c r="N161" s="229"/>
      <c r="O161" s="229"/>
      <c r="P161" s="229"/>
      <c r="Q161" s="229"/>
      <c r="R161" s="229"/>
      <c r="S161" s="229"/>
      <c r="T161" s="229"/>
    </row>
    <row r="162" spans="1:20" s="255" customFormat="1" x14ac:dyDescent="0.2">
      <c r="A162" s="254"/>
      <c r="C162" s="256"/>
      <c r="D162" s="256"/>
      <c r="E162" s="256"/>
      <c r="F162" s="254"/>
      <c r="K162" s="293"/>
      <c r="L162" s="229"/>
      <c r="M162" s="229"/>
      <c r="N162" s="229"/>
      <c r="O162" s="229"/>
      <c r="P162" s="229"/>
      <c r="Q162" s="229"/>
      <c r="R162" s="229"/>
      <c r="S162" s="229"/>
      <c r="T162" s="229"/>
    </row>
    <row r="163" spans="1:20" s="255" customFormat="1" x14ac:dyDescent="0.2">
      <c r="A163" s="254"/>
      <c r="C163" s="256"/>
      <c r="D163" s="256"/>
      <c r="E163" s="256"/>
      <c r="F163" s="254"/>
      <c r="K163" s="293"/>
      <c r="L163" s="229"/>
      <c r="M163" s="229"/>
      <c r="N163" s="229"/>
      <c r="O163" s="229"/>
      <c r="P163" s="229"/>
      <c r="Q163" s="229"/>
      <c r="R163" s="229"/>
      <c r="S163" s="229"/>
      <c r="T163" s="229"/>
    </row>
    <row r="164" spans="1:20" s="255" customFormat="1" x14ac:dyDescent="0.2">
      <c r="A164" s="254"/>
      <c r="C164" s="256"/>
      <c r="D164" s="256"/>
      <c r="E164" s="256"/>
      <c r="F164" s="254"/>
      <c r="K164" s="293"/>
      <c r="L164" s="229"/>
      <c r="M164" s="229"/>
      <c r="N164" s="229"/>
      <c r="O164" s="229"/>
      <c r="P164" s="229"/>
      <c r="Q164" s="229"/>
      <c r="R164" s="229"/>
      <c r="S164" s="229"/>
      <c r="T164" s="229"/>
    </row>
    <row r="165" spans="1:20" s="255" customFormat="1" x14ac:dyDescent="0.2">
      <c r="A165" s="254"/>
      <c r="C165" s="256"/>
      <c r="D165" s="256"/>
      <c r="E165" s="256"/>
      <c r="F165" s="254"/>
      <c r="K165" s="293"/>
      <c r="L165" s="229"/>
      <c r="M165" s="229"/>
      <c r="N165" s="229"/>
      <c r="O165" s="229"/>
      <c r="P165" s="229"/>
      <c r="Q165" s="229"/>
      <c r="R165" s="229"/>
      <c r="S165" s="229"/>
      <c r="T165" s="229"/>
    </row>
    <row r="166" spans="1:20" s="255" customFormat="1" x14ac:dyDescent="0.2">
      <c r="A166" s="254"/>
      <c r="C166" s="256"/>
      <c r="D166" s="256"/>
      <c r="E166" s="256"/>
      <c r="F166" s="254"/>
      <c r="K166" s="293"/>
      <c r="L166" s="229"/>
      <c r="M166" s="229"/>
      <c r="N166" s="229"/>
      <c r="O166" s="229"/>
      <c r="P166" s="229"/>
      <c r="Q166" s="229"/>
      <c r="R166" s="229"/>
      <c r="S166" s="229"/>
      <c r="T166" s="229"/>
    </row>
    <row r="167" spans="1:20" s="255" customFormat="1" x14ac:dyDescent="0.2">
      <c r="A167" s="254"/>
      <c r="C167" s="256"/>
      <c r="D167" s="256"/>
      <c r="E167" s="256"/>
      <c r="F167" s="254"/>
      <c r="K167" s="293"/>
      <c r="L167" s="229"/>
      <c r="M167" s="229"/>
      <c r="N167" s="229"/>
      <c r="O167" s="229"/>
      <c r="P167" s="229"/>
      <c r="Q167" s="229"/>
      <c r="R167" s="229"/>
      <c r="S167" s="229"/>
      <c r="T167" s="229"/>
    </row>
    <row r="168" spans="1:20" s="255" customFormat="1" x14ac:dyDescent="0.2">
      <c r="A168" s="254"/>
      <c r="C168" s="256"/>
      <c r="D168" s="256"/>
      <c r="E168" s="256"/>
      <c r="F168" s="254"/>
      <c r="K168" s="293"/>
      <c r="L168" s="229"/>
      <c r="M168" s="229"/>
      <c r="N168" s="229"/>
      <c r="O168" s="229"/>
      <c r="P168" s="229"/>
      <c r="Q168" s="229"/>
      <c r="R168" s="229"/>
      <c r="S168" s="229"/>
      <c r="T168" s="229"/>
    </row>
    <row r="169" spans="1:20" s="255" customFormat="1" x14ac:dyDescent="0.2">
      <c r="A169" s="254"/>
      <c r="C169" s="256"/>
      <c r="D169" s="256"/>
      <c r="E169" s="256"/>
      <c r="F169" s="254"/>
      <c r="K169" s="293"/>
      <c r="L169" s="229"/>
      <c r="M169" s="229"/>
      <c r="N169" s="229"/>
      <c r="O169" s="229"/>
      <c r="P169" s="229"/>
      <c r="Q169" s="229"/>
      <c r="R169" s="229"/>
      <c r="S169" s="229"/>
      <c r="T169" s="229"/>
    </row>
    <row r="170" spans="1:20" s="255" customFormat="1" x14ac:dyDescent="0.2">
      <c r="A170" s="254"/>
      <c r="C170" s="256"/>
      <c r="D170" s="256"/>
      <c r="E170" s="256"/>
      <c r="F170" s="254"/>
      <c r="K170" s="293"/>
      <c r="L170" s="229"/>
      <c r="M170" s="229"/>
      <c r="N170" s="229"/>
      <c r="O170" s="229"/>
      <c r="P170" s="229"/>
      <c r="Q170" s="229"/>
      <c r="R170" s="229"/>
      <c r="S170" s="229"/>
      <c r="T170" s="229"/>
    </row>
    <row r="171" spans="1:20" s="255" customFormat="1" x14ac:dyDescent="0.2">
      <c r="A171" s="254"/>
      <c r="C171" s="256"/>
      <c r="D171" s="256"/>
      <c r="E171" s="256"/>
      <c r="F171" s="254"/>
      <c r="K171" s="293"/>
      <c r="L171" s="229"/>
      <c r="M171" s="229"/>
      <c r="N171" s="229"/>
      <c r="O171" s="229"/>
      <c r="P171" s="229"/>
      <c r="Q171" s="229"/>
      <c r="R171" s="229"/>
      <c r="S171" s="229"/>
      <c r="T171" s="229"/>
    </row>
    <row r="172" spans="1:20" s="255" customFormat="1" x14ac:dyDescent="0.2">
      <c r="A172" s="254"/>
      <c r="C172" s="256"/>
      <c r="D172" s="256"/>
      <c r="E172" s="256"/>
      <c r="F172" s="254"/>
      <c r="K172" s="293"/>
      <c r="L172" s="229"/>
      <c r="M172" s="229"/>
      <c r="N172" s="229"/>
      <c r="O172" s="229"/>
      <c r="P172" s="229"/>
      <c r="Q172" s="229"/>
      <c r="R172" s="229"/>
      <c r="S172" s="229"/>
      <c r="T172" s="229"/>
    </row>
    <row r="173" spans="1:20" s="255" customFormat="1" x14ac:dyDescent="0.2">
      <c r="A173" s="254"/>
      <c r="C173" s="256"/>
      <c r="D173" s="256"/>
      <c r="E173" s="256"/>
      <c r="F173" s="254"/>
      <c r="K173" s="293"/>
      <c r="L173" s="229"/>
      <c r="M173" s="229"/>
      <c r="N173" s="229"/>
      <c r="O173" s="229"/>
      <c r="P173" s="229"/>
      <c r="Q173" s="229"/>
      <c r="R173" s="229"/>
      <c r="S173" s="229"/>
      <c r="T173" s="229"/>
    </row>
    <row r="174" spans="1:20" s="255" customFormat="1" x14ac:dyDescent="0.2">
      <c r="A174" s="254"/>
      <c r="C174" s="256"/>
      <c r="D174" s="256"/>
      <c r="E174" s="256"/>
      <c r="F174" s="254"/>
      <c r="K174" s="293"/>
      <c r="L174" s="229"/>
      <c r="M174" s="229"/>
      <c r="N174" s="229"/>
      <c r="O174" s="229"/>
      <c r="P174" s="229"/>
      <c r="Q174" s="229"/>
      <c r="R174" s="229"/>
      <c r="S174" s="229"/>
      <c r="T174" s="229"/>
    </row>
    <row r="175" spans="1:20" s="255" customFormat="1" x14ac:dyDescent="0.2">
      <c r="A175" s="254"/>
      <c r="C175" s="256"/>
      <c r="D175" s="256"/>
      <c r="E175" s="256"/>
      <c r="F175" s="254"/>
      <c r="K175" s="293"/>
      <c r="L175" s="229"/>
      <c r="M175" s="229"/>
      <c r="N175" s="229"/>
      <c r="O175" s="229"/>
      <c r="P175" s="229"/>
      <c r="Q175" s="229"/>
      <c r="R175" s="229"/>
      <c r="S175" s="229"/>
      <c r="T175" s="229"/>
    </row>
    <row r="176" spans="1:20" s="255" customFormat="1" x14ac:dyDescent="0.2">
      <c r="A176" s="254"/>
      <c r="C176" s="256"/>
      <c r="D176" s="256"/>
      <c r="E176" s="256"/>
      <c r="F176" s="254"/>
      <c r="K176" s="293"/>
      <c r="L176" s="229"/>
      <c r="M176" s="229"/>
      <c r="N176" s="229"/>
      <c r="O176" s="229"/>
      <c r="P176" s="229"/>
      <c r="Q176" s="229"/>
      <c r="R176" s="229"/>
      <c r="S176" s="229"/>
      <c r="T176" s="229"/>
    </row>
    <row r="177" spans="1:20" s="255" customFormat="1" x14ac:dyDescent="0.2">
      <c r="A177" s="254"/>
      <c r="C177" s="256"/>
      <c r="D177" s="256"/>
      <c r="E177" s="256"/>
      <c r="F177" s="254"/>
      <c r="K177" s="293"/>
      <c r="L177" s="229"/>
      <c r="M177" s="229"/>
      <c r="N177" s="229"/>
      <c r="O177" s="229"/>
      <c r="P177" s="229"/>
      <c r="Q177" s="229"/>
      <c r="R177" s="229"/>
      <c r="S177" s="229"/>
      <c r="T177" s="229"/>
    </row>
  </sheetData>
  <dataConsolidate/>
  <printOptions horizontalCentered="1" gridLines="1"/>
  <pageMargins left="0.31496062992125984" right="0.23622047244094491" top="0.55118110236220474" bottom="0.47244094488188981" header="0.35433070866141736" footer="0.27559055118110237"/>
  <pageSetup paperSize="9" scale="53" fitToHeight="0" orientation="portrait" horizontalDpi="1200" verticalDpi="1200" r:id="rId1"/>
  <headerFooter alignWithMargins="0">
    <oddHeader>&amp;CTinnitusmaskerere</oddHeader>
    <oddFooter>Side &amp;P av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S35" sqref="S35"/>
    </sheetView>
  </sheetViews>
  <sheetFormatPr baseColWidth="10" defaultColWidth="11.5703125" defaultRowHeight="12.75" x14ac:dyDescent="0.2"/>
  <cols>
    <col min="1" max="1" width="17.5703125" customWidth="1"/>
    <col min="2" max="2" width="6.42578125" bestFit="1" customWidth="1"/>
    <col min="3" max="5" width="6.42578125" customWidth="1"/>
    <col min="6" max="6" width="6.42578125" style="33" customWidth="1"/>
    <col min="7" max="7" width="11.42578125" style="85"/>
    <col min="8" max="8" width="12.28515625" bestFit="1" customWidth="1"/>
    <col min="9" max="9" width="1.85546875" customWidth="1"/>
    <col min="10" max="10" width="18.140625" customWidth="1"/>
    <col min="11" max="11" width="5.5703125" bestFit="1" customWidth="1"/>
    <col min="12" max="14" width="5.5703125" customWidth="1"/>
    <col min="15" max="15" width="5.5703125" style="33" customWidth="1"/>
    <col min="16" max="16" width="9" style="77" customWidth="1"/>
    <col min="17" max="17" width="8.7109375" bestFit="1" customWidth="1"/>
    <col min="18" max="18" width="1.85546875" customWidth="1"/>
    <col min="19" max="19" width="15.7109375" bestFit="1" customWidth="1"/>
    <col min="20" max="24" width="5.7109375" customWidth="1"/>
    <col min="25" max="26" width="8.7109375" bestFit="1" customWidth="1"/>
  </cols>
  <sheetData>
    <row r="1" spans="1:26" ht="15.75" x14ac:dyDescent="0.25">
      <c r="A1" s="570" t="s">
        <v>33</v>
      </c>
      <c r="B1" s="11" t="s">
        <v>71</v>
      </c>
      <c r="C1" s="11" t="s">
        <v>72</v>
      </c>
      <c r="D1" s="11" t="s">
        <v>73</v>
      </c>
      <c r="E1" s="11" t="s">
        <v>74</v>
      </c>
      <c r="F1" s="94" t="s">
        <v>6</v>
      </c>
      <c r="G1" s="83" t="s">
        <v>60</v>
      </c>
      <c r="H1" s="11" t="s">
        <v>54</v>
      </c>
      <c r="I1" s="12"/>
      <c r="J1" s="13" t="s">
        <v>33</v>
      </c>
      <c r="K1" s="13" t="s">
        <v>71</v>
      </c>
      <c r="L1" s="13" t="s">
        <v>72</v>
      </c>
      <c r="M1" s="13" t="s">
        <v>73</v>
      </c>
      <c r="N1" s="13" t="s">
        <v>74</v>
      </c>
      <c r="O1" s="96" t="s">
        <v>6</v>
      </c>
      <c r="P1" s="88" t="s">
        <v>27</v>
      </c>
      <c r="Q1" s="13" t="s">
        <v>55</v>
      </c>
      <c r="R1" s="12"/>
      <c r="S1" s="72" t="s">
        <v>33</v>
      </c>
      <c r="T1" s="72" t="s">
        <v>71</v>
      </c>
      <c r="U1" s="72" t="s">
        <v>72</v>
      </c>
      <c r="V1" s="72" t="s">
        <v>73</v>
      </c>
      <c r="W1" s="72" t="s">
        <v>74</v>
      </c>
      <c r="X1" s="73" t="s">
        <v>6</v>
      </c>
      <c r="Y1" s="72" t="s">
        <v>27</v>
      </c>
      <c r="Z1" s="72" t="s">
        <v>55</v>
      </c>
    </row>
    <row r="2" spans="1:26" ht="15.75" x14ac:dyDescent="0.25">
      <c r="A2" s="570" t="s">
        <v>34</v>
      </c>
      <c r="B2" s="11" t="s">
        <v>7</v>
      </c>
      <c r="C2" s="11" t="s">
        <v>7</v>
      </c>
      <c r="D2" s="11" t="s">
        <v>7</v>
      </c>
      <c r="E2" s="11" t="s">
        <v>7</v>
      </c>
      <c r="F2" s="95" t="s">
        <v>138</v>
      </c>
      <c r="G2" s="83" t="s">
        <v>56</v>
      </c>
      <c r="H2" s="11" t="s">
        <v>56</v>
      </c>
      <c r="I2" s="12"/>
      <c r="J2" s="55" t="s">
        <v>98</v>
      </c>
      <c r="K2" s="13" t="s">
        <v>7</v>
      </c>
      <c r="L2" s="13" t="s">
        <v>7</v>
      </c>
      <c r="M2" s="13" t="s">
        <v>7</v>
      </c>
      <c r="N2" s="13" t="s">
        <v>7</v>
      </c>
      <c r="O2" s="34" t="s">
        <v>138</v>
      </c>
      <c r="P2" s="88" t="s">
        <v>56</v>
      </c>
      <c r="Q2" s="13" t="s">
        <v>56</v>
      </c>
      <c r="R2" s="12"/>
      <c r="S2" s="74" t="s">
        <v>97</v>
      </c>
      <c r="T2" s="72" t="s">
        <v>7</v>
      </c>
      <c r="U2" s="72" t="s">
        <v>7</v>
      </c>
      <c r="V2" s="72" t="s">
        <v>7</v>
      </c>
      <c r="W2" s="72" t="s">
        <v>7</v>
      </c>
      <c r="X2" s="93" t="s">
        <v>138</v>
      </c>
      <c r="Y2" s="72" t="s">
        <v>56</v>
      </c>
      <c r="Z2" s="72" t="s">
        <v>56</v>
      </c>
    </row>
    <row r="3" spans="1:26" ht="15.75" x14ac:dyDescent="0.25">
      <c r="A3" s="571">
        <v>2018</v>
      </c>
      <c r="B3" s="11"/>
      <c r="C3" s="11"/>
      <c r="D3" s="11"/>
      <c r="E3" s="11"/>
      <c r="F3" s="95" t="s">
        <v>139</v>
      </c>
      <c r="G3" s="83" t="s">
        <v>57</v>
      </c>
      <c r="H3" s="11" t="s">
        <v>57</v>
      </c>
      <c r="I3" s="12"/>
      <c r="J3" s="55" t="s">
        <v>99</v>
      </c>
      <c r="K3" s="13"/>
      <c r="L3" s="13"/>
      <c r="M3" s="13"/>
      <c r="N3" s="13"/>
      <c r="O3" s="97" t="s">
        <v>139</v>
      </c>
      <c r="P3" s="88"/>
      <c r="Q3" s="13"/>
      <c r="R3" s="12"/>
      <c r="S3" s="74" t="s">
        <v>34</v>
      </c>
      <c r="T3" s="72"/>
      <c r="U3" s="72"/>
      <c r="V3" s="72"/>
      <c r="W3" s="72"/>
      <c r="X3" s="93" t="s">
        <v>139</v>
      </c>
      <c r="Y3" s="72"/>
      <c r="Z3" s="72"/>
    </row>
    <row r="4" spans="1:26" x14ac:dyDescent="0.2">
      <c r="A4" s="1"/>
      <c r="B4" s="1"/>
      <c r="C4" s="1"/>
      <c r="D4" s="1"/>
      <c r="E4" s="1"/>
      <c r="F4" s="30"/>
      <c r="G4" s="606" t="s">
        <v>1033</v>
      </c>
      <c r="H4" s="15"/>
      <c r="I4" s="19"/>
      <c r="J4" s="15"/>
      <c r="K4" s="15"/>
      <c r="L4" s="15"/>
      <c r="M4" s="15"/>
      <c r="N4" s="15"/>
      <c r="O4" s="30"/>
      <c r="P4" s="76"/>
      <c r="Q4" s="15"/>
      <c r="R4" s="19"/>
    </row>
    <row r="5" spans="1:26" ht="15.75" x14ac:dyDescent="0.25">
      <c r="A5" s="14" t="s">
        <v>799</v>
      </c>
      <c r="B5" s="1"/>
      <c r="C5" s="1"/>
      <c r="D5" s="1"/>
      <c r="E5" s="1"/>
      <c r="F5" s="30"/>
      <c r="G5" s="603"/>
      <c r="H5" s="1"/>
      <c r="I5" s="12"/>
      <c r="J5" s="1"/>
      <c r="K5" s="1"/>
      <c r="L5" s="1"/>
      <c r="M5" s="1"/>
      <c r="N5" s="1"/>
      <c r="O5" s="30"/>
      <c r="Q5" s="1"/>
      <c r="R5" s="12"/>
      <c r="S5" s="1"/>
      <c r="T5" s="1"/>
      <c r="U5" s="1"/>
      <c r="V5" s="1"/>
      <c r="W5" s="1"/>
      <c r="Y5" s="1"/>
      <c r="Z5" s="1"/>
    </row>
    <row r="6" spans="1:26" x14ac:dyDescent="0.2">
      <c r="A6" s="1" t="s">
        <v>28</v>
      </c>
      <c r="B6" s="77">
        <v>33</v>
      </c>
      <c r="C6" s="77"/>
      <c r="D6" s="77"/>
      <c r="E6" s="76"/>
      <c r="F6" s="30">
        <f>SUM(B6:E6)</f>
        <v>33</v>
      </c>
      <c r="G6" s="606">
        <v>261</v>
      </c>
      <c r="H6" s="15">
        <f>F6*G6</f>
        <v>8613</v>
      </c>
      <c r="I6" s="19"/>
      <c r="J6" s="15" t="s">
        <v>28</v>
      </c>
      <c r="K6" s="15"/>
      <c r="L6" s="15"/>
      <c r="M6" s="15"/>
      <c r="N6" s="15"/>
      <c r="O6" s="30">
        <f>SUM(K6:N6)</f>
        <v>0</v>
      </c>
      <c r="P6" s="76"/>
      <c r="Q6" s="15">
        <f>O6*P6</f>
        <v>0</v>
      </c>
      <c r="R6" s="19"/>
    </row>
    <row r="7" spans="1:26" x14ac:dyDescent="0.2">
      <c r="A7" s="1" t="s">
        <v>29</v>
      </c>
      <c r="B7" s="77">
        <v>307</v>
      </c>
      <c r="C7" s="77"/>
      <c r="D7" s="77"/>
      <c r="E7" s="76"/>
      <c r="F7" s="30">
        <f>SUM(B7:E7)</f>
        <v>307</v>
      </c>
      <c r="G7" s="606">
        <v>939</v>
      </c>
      <c r="H7" s="15">
        <f>F7*G7</f>
        <v>288273</v>
      </c>
      <c r="I7" s="19"/>
      <c r="J7" s="15" t="s">
        <v>29</v>
      </c>
      <c r="K7" s="15"/>
      <c r="L7" s="15"/>
      <c r="M7" s="15"/>
      <c r="N7" s="15"/>
      <c r="O7" s="30">
        <f>SUM(K7:N7)</f>
        <v>0</v>
      </c>
      <c r="P7" s="76"/>
      <c r="Q7" s="15">
        <f>O7*P7</f>
        <v>0</v>
      </c>
      <c r="R7" s="19"/>
    </row>
    <row r="8" spans="1:26" x14ac:dyDescent="0.2">
      <c r="A8" s="1" t="s">
        <v>30</v>
      </c>
      <c r="B8" s="1"/>
      <c r="C8" s="1"/>
      <c r="D8" s="1"/>
      <c r="E8" s="15"/>
      <c r="F8" s="30">
        <f>SUM(B8:E8)</f>
        <v>0</v>
      </c>
      <c r="G8" s="606">
        <v>53</v>
      </c>
      <c r="H8" s="15">
        <f>F8*G8</f>
        <v>0</v>
      </c>
      <c r="I8" s="19"/>
      <c r="J8" s="15" t="s">
        <v>30</v>
      </c>
      <c r="K8" s="15"/>
      <c r="L8" s="15"/>
      <c r="M8" s="15"/>
      <c r="N8" s="15"/>
      <c r="O8" s="30">
        <f>SUM(K8:N8)</f>
        <v>0</v>
      </c>
      <c r="P8" s="76"/>
      <c r="Q8" s="15">
        <f>O8*P8</f>
        <v>0</v>
      </c>
      <c r="R8" s="19"/>
    </row>
    <row r="9" spans="1:26" x14ac:dyDescent="0.2">
      <c r="A9" s="1" t="s">
        <v>31</v>
      </c>
      <c r="B9" s="1"/>
      <c r="C9" s="1"/>
      <c r="D9" s="1"/>
      <c r="E9" s="15"/>
      <c r="F9" s="30">
        <f>SUM(B9:E9)</f>
        <v>0</v>
      </c>
      <c r="G9" s="606">
        <v>53</v>
      </c>
      <c r="H9" s="15">
        <f>F9*G9</f>
        <v>0</v>
      </c>
      <c r="I9" s="19"/>
      <c r="J9" s="15" t="s">
        <v>31</v>
      </c>
      <c r="K9" s="15"/>
      <c r="L9" s="15"/>
      <c r="M9" s="15"/>
      <c r="N9" s="15"/>
      <c r="O9" s="30">
        <f>SUM(K9:N9)</f>
        <v>0</v>
      </c>
      <c r="P9" s="76"/>
      <c r="Q9" s="15">
        <f>O9*P9</f>
        <v>0</v>
      </c>
      <c r="R9" s="19"/>
    </row>
    <row r="10" spans="1:26" x14ac:dyDescent="0.2">
      <c r="A10" s="2" t="s">
        <v>5</v>
      </c>
      <c r="B10" s="16"/>
      <c r="C10" s="16"/>
      <c r="D10" s="16"/>
      <c r="E10" s="16"/>
      <c r="F10" s="31"/>
      <c r="G10" s="604"/>
      <c r="H10" s="16">
        <f>SUM(H6:H9)</f>
        <v>296886</v>
      </c>
      <c r="I10" s="20"/>
      <c r="J10" s="16" t="s">
        <v>5</v>
      </c>
      <c r="K10" s="16"/>
      <c r="L10" s="16"/>
      <c r="M10" s="16"/>
      <c r="N10" s="16"/>
      <c r="O10" s="31">
        <f>SUM(K10:N10)</f>
        <v>0</v>
      </c>
      <c r="P10" s="90"/>
      <c r="Q10" s="16">
        <f>SUM(Q6:Q9)</f>
        <v>0</v>
      </c>
      <c r="R10" s="20"/>
    </row>
    <row r="11" spans="1:26" x14ac:dyDescent="0.2">
      <c r="A11" s="9"/>
      <c r="B11" s="18"/>
      <c r="C11" s="18"/>
      <c r="D11" s="18"/>
      <c r="E11" s="18"/>
      <c r="F11" s="32"/>
      <c r="G11" s="605"/>
      <c r="H11" s="18"/>
      <c r="I11" s="22"/>
      <c r="J11" s="18"/>
      <c r="K11" s="18"/>
      <c r="L11" s="18"/>
      <c r="M11" s="18"/>
      <c r="N11" s="18"/>
      <c r="O11" s="32"/>
      <c r="P11" s="91"/>
      <c r="Q11" s="18"/>
      <c r="R11" s="22"/>
    </row>
    <row r="12" spans="1:26" ht="15.75" x14ac:dyDescent="0.25">
      <c r="A12" s="14" t="s">
        <v>104</v>
      </c>
      <c r="B12" s="1"/>
      <c r="C12" s="1"/>
      <c r="D12" s="1"/>
      <c r="E12" s="1"/>
      <c r="F12" s="30"/>
      <c r="G12" s="603"/>
      <c r="H12" s="1"/>
      <c r="I12" s="12"/>
      <c r="J12" s="1"/>
      <c r="K12" s="1"/>
      <c r="L12" s="1"/>
      <c r="M12" s="1"/>
      <c r="N12" s="1"/>
      <c r="O12" s="30"/>
      <c r="Q12" s="1"/>
      <c r="R12" s="12"/>
      <c r="S12" s="14" t="s">
        <v>854</v>
      </c>
    </row>
    <row r="13" spans="1:26" x14ac:dyDescent="0.2">
      <c r="A13" s="1" t="s">
        <v>28</v>
      </c>
      <c r="B13">
        <f>129+82</f>
        <v>211</v>
      </c>
      <c r="F13" s="30">
        <f>SUM(B13:E13)</f>
        <v>211</v>
      </c>
      <c r="G13" s="606">
        <v>427</v>
      </c>
      <c r="H13" s="15">
        <f>F13*G13</f>
        <v>90097</v>
      </c>
      <c r="I13" s="12"/>
      <c r="J13" s="1" t="s">
        <v>28</v>
      </c>
      <c r="K13" s="15"/>
      <c r="L13" s="15"/>
      <c r="M13" s="15"/>
      <c r="N13" s="15"/>
      <c r="O13" s="30">
        <f t="shared" ref="O13:O18" si="0">SUM(K13:N13)</f>
        <v>0</v>
      </c>
      <c r="P13" s="76"/>
      <c r="Q13" s="15">
        <f>O13*P13</f>
        <v>0</v>
      </c>
      <c r="R13" s="12"/>
      <c r="S13" s="1" t="s">
        <v>28</v>
      </c>
      <c r="T13">
        <v>1</v>
      </c>
      <c r="V13" s="76"/>
      <c r="W13" s="76"/>
      <c r="X13" s="30">
        <f>SUM(T13:W13)</f>
        <v>1</v>
      </c>
      <c r="Y13" s="607">
        <v>536</v>
      </c>
      <c r="Z13" s="15">
        <f>X13*Y13</f>
        <v>536</v>
      </c>
    </row>
    <row r="14" spans="1:26" x14ac:dyDescent="0.2">
      <c r="A14" s="1" t="s">
        <v>29</v>
      </c>
      <c r="B14" s="8">
        <f>240+281</f>
        <v>521</v>
      </c>
      <c r="F14" s="30">
        <f>SUM(B14:E14)</f>
        <v>521</v>
      </c>
      <c r="G14" s="606">
        <v>709</v>
      </c>
      <c r="H14" s="15">
        <f>F14*G14</f>
        <v>369389</v>
      </c>
      <c r="I14" s="12"/>
      <c r="J14" s="1" t="s">
        <v>29</v>
      </c>
      <c r="K14" s="15"/>
      <c r="L14" s="15"/>
      <c r="M14" s="15"/>
      <c r="N14" s="15"/>
      <c r="O14" s="30">
        <f t="shared" si="0"/>
        <v>0</v>
      </c>
      <c r="P14" s="76"/>
      <c r="Q14" s="15">
        <f>O14*P14</f>
        <v>0</v>
      </c>
      <c r="R14" s="12"/>
      <c r="S14" s="1" t="s">
        <v>29</v>
      </c>
      <c r="V14" s="76"/>
      <c r="W14" s="76"/>
      <c r="X14" s="30">
        <f>SUM(T14:W14)</f>
        <v>0</v>
      </c>
      <c r="Y14" s="607">
        <v>1461</v>
      </c>
      <c r="Z14" s="15">
        <f>X14*Y14</f>
        <v>0</v>
      </c>
    </row>
    <row r="15" spans="1:26" x14ac:dyDescent="0.2">
      <c r="A15" s="1" t="s">
        <v>30</v>
      </c>
      <c r="B15" s="8">
        <f>251+152</f>
        <v>403</v>
      </c>
      <c r="F15" s="30">
        <f>SUM(B15:E15)</f>
        <v>403</v>
      </c>
      <c r="G15" s="606">
        <v>968</v>
      </c>
      <c r="H15" s="15">
        <f>F15*G15</f>
        <v>390104</v>
      </c>
      <c r="I15" s="12"/>
      <c r="J15" s="1" t="s">
        <v>30</v>
      </c>
      <c r="K15" s="15"/>
      <c r="L15" s="15"/>
      <c r="M15" s="15"/>
      <c r="N15" s="15"/>
      <c r="O15" s="30">
        <f t="shared" si="0"/>
        <v>0</v>
      </c>
      <c r="P15" s="76"/>
      <c r="Q15" s="15">
        <f>O15*P15</f>
        <v>0</v>
      </c>
      <c r="R15" s="12"/>
      <c r="S15" s="1" t="s">
        <v>30</v>
      </c>
      <c r="T15">
        <v>1</v>
      </c>
      <c r="V15" s="76"/>
      <c r="W15" s="76"/>
      <c r="X15" s="30">
        <f>SUM(T15:W15)</f>
        <v>1</v>
      </c>
      <c r="Y15" s="607">
        <v>1865</v>
      </c>
      <c r="Z15" s="15">
        <f>X15*Y15</f>
        <v>1865</v>
      </c>
    </row>
    <row r="16" spans="1:26" x14ac:dyDescent="0.2">
      <c r="A16" s="1" t="s">
        <v>31</v>
      </c>
      <c r="B16" s="8">
        <f>38+41</f>
        <v>79</v>
      </c>
      <c r="F16" s="30">
        <f>SUM(B16:E16)</f>
        <v>79</v>
      </c>
      <c r="G16" s="606">
        <v>1298</v>
      </c>
      <c r="H16" s="15">
        <f>F16*G16</f>
        <v>102542</v>
      </c>
      <c r="I16" s="12"/>
      <c r="J16" s="1" t="s">
        <v>31</v>
      </c>
      <c r="K16" s="15"/>
      <c r="L16" s="15"/>
      <c r="M16" s="15"/>
      <c r="N16" s="15"/>
      <c r="O16" s="30">
        <f t="shared" si="0"/>
        <v>0</v>
      </c>
      <c r="P16" s="76"/>
      <c r="Q16" s="15">
        <f>O16*P16</f>
        <v>0</v>
      </c>
      <c r="R16" s="12"/>
      <c r="S16" s="1" t="s">
        <v>31</v>
      </c>
      <c r="T16">
        <v>3</v>
      </c>
      <c r="V16" s="76"/>
      <c r="W16" s="76"/>
      <c r="X16" s="30">
        <f>SUM(T16:W16)</f>
        <v>3</v>
      </c>
      <c r="Y16" s="607">
        <v>2109</v>
      </c>
      <c r="Z16" s="15">
        <f>X16*Y16</f>
        <v>6327</v>
      </c>
    </row>
    <row r="17" spans="1:26" x14ac:dyDescent="0.2">
      <c r="A17" s="1"/>
      <c r="F17" s="30"/>
      <c r="G17" s="602"/>
      <c r="H17" s="15"/>
      <c r="I17" s="12"/>
      <c r="J17" s="1"/>
      <c r="K17" s="15"/>
      <c r="L17" s="15"/>
      <c r="M17" s="15"/>
      <c r="N17" s="15"/>
      <c r="O17" s="30"/>
      <c r="P17" s="76"/>
      <c r="Q17" s="15"/>
      <c r="R17" s="12"/>
      <c r="S17" s="1" t="s">
        <v>32</v>
      </c>
      <c r="T17">
        <v>9</v>
      </c>
      <c r="V17" s="76"/>
      <c r="W17" s="76"/>
      <c r="X17" s="30">
        <f>SUM(T17:W17)</f>
        <v>9</v>
      </c>
      <c r="Y17" s="607">
        <v>7996</v>
      </c>
      <c r="Z17" s="15">
        <f>X17*Y17</f>
        <v>71964</v>
      </c>
    </row>
    <row r="18" spans="1:26" x14ac:dyDescent="0.2">
      <c r="A18" s="2" t="s">
        <v>5</v>
      </c>
      <c r="B18" s="16"/>
      <c r="C18" s="16"/>
      <c r="D18" s="16"/>
      <c r="E18" s="16"/>
      <c r="F18" s="31"/>
      <c r="G18" s="604"/>
      <c r="H18" s="16">
        <f>SUM(H13:H17)</f>
        <v>952132</v>
      </c>
      <c r="I18" s="17"/>
      <c r="J18" s="2" t="s">
        <v>5</v>
      </c>
      <c r="K18" s="16"/>
      <c r="L18" s="16"/>
      <c r="M18" s="16"/>
      <c r="N18" s="16"/>
      <c r="O18" s="31">
        <f t="shared" si="0"/>
        <v>0</v>
      </c>
      <c r="P18" s="90"/>
      <c r="Q18" s="16">
        <f>SUM(Q13:Q17)</f>
        <v>0</v>
      </c>
      <c r="R18" s="17"/>
      <c r="S18" s="2" t="s">
        <v>5</v>
      </c>
      <c r="T18" s="16"/>
      <c r="U18" s="16"/>
      <c r="V18" s="16"/>
      <c r="W18" s="16"/>
      <c r="X18" s="16">
        <f>SUM(X13:X17)</f>
        <v>14</v>
      </c>
      <c r="Y18" s="16"/>
      <c r="Z18" s="16">
        <f>SUM(Z13:Z17)</f>
        <v>80692</v>
      </c>
    </row>
    <row r="19" spans="1:26" x14ac:dyDescent="0.2">
      <c r="A19" s="1"/>
      <c r="B19" s="1"/>
      <c r="C19" s="1"/>
      <c r="D19" s="1"/>
      <c r="E19" s="1"/>
      <c r="F19" s="30"/>
      <c r="G19" s="603"/>
      <c r="H19" s="1"/>
      <c r="I19" s="12"/>
      <c r="J19" s="1"/>
      <c r="K19" s="1"/>
      <c r="L19" s="1"/>
      <c r="M19" s="1"/>
      <c r="N19" s="1"/>
      <c r="O19" s="30"/>
      <c r="Q19" s="1"/>
      <c r="R19" s="12"/>
    </row>
    <row r="20" spans="1:26" ht="15.75" x14ac:dyDescent="0.25">
      <c r="A20" s="21" t="s">
        <v>20</v>
      </c>
      <c r="B20" s="15"/>
      <c r="C20" s="15"/>
      <c r="D20" s="15"/>
      <c r="E20" s="15"/>
      <c r="F20" s="32"/>
      <c r="G20" s="602"/>
      <c r="H20" s="15"/>
      <c r="I20" s="19"/>
      <c r="J20" s="15"/>
      <c r="K20" s="15"/>
      <c r="L20" s="15"/>
      <c r="M20" s="15"/>
      <c r="N20" s="15"/>
      <c r="O20" s="32"/>
      <c r="P20" s="76"/>
      <c r="Q20" s="15"/>
      <c r="R20" s="19"/>
    </row>
    <row r="21" spans="1:26" x14ac:dyDescent="0.2">
      <c r="A21" s="15" t="s">
        <v>28</v>
      </c>
      <c r="B21">
        <v>192</v>
      </c>
      <c r="E21" s="76"/>
      <c r="F21" s="30">
        <f>SUM(B21:E21)</f>
        <v>192</v>
      </c>
      <c r="G21" s="606">
        <v>542</v>
      </c>
      <c r="H21" s="15">
        <f>F21*G21</f>
        <v>104064</v>
      </c>
      <c r="I21" s="19"/>
      <c r="J21" s="15" t="s">
        <v>28</v>
      </c>
      <c r="K21">
        <v>27</v>
      </c>
      <c r="O21" s="30">
        <f>SUM(K21:N21)</f>
        <v>27</v>
      </c>
      <c r="P21" s="76">
        <v>350</v>
      </c>
      <c r="Q21" s="15">
        <f>O21*P21</f>
        <v>9450</v>
      </c>
      <c r="R21" s="19"/>
    </row>
    <row r="22" spans="1:26" x14ac:dyDescent="0.2">
      <c r="A22" s="15" t="s">
        <v>29</v>
      </c>
      <c r="B22" s="8"/>
      <c r="E22" s="76"/>
      <c r="F22" s="30">
        <f>SUM(B22:E22)</f>
        <v>0</v>
      </c>
      <c r="G22" s="606">
        <v>0</v>
      </c>
      <c r="H22" s="15">
        <f>F22*G22</f>
        <v>0</v>
      </c>
      <c r="I22" s="19"/>
      <c r="J22" s="15" t="s">
        <v>29</v>
      </c>
      <c r="K22">
        <v>28</v>
      </c>
      <c r="O22" s="30">
        <f>SUM(K22:N22)</f>
        <v>28</v>
      </c>
      <c r="P22" s="76">
        <v>500</v>
      </c>
      <c r="Q22" s="15">
        <f>O22*P22</f>
        <v>14000</v>
      </c>
      <c r="R22" s="19"/>
    </row>
    <row r="23" spans="1:26" x14ac:dyDescent="0.2">
      <c r="A23" s="15" t="s">
        <v>30</v>
      </c>
      <c r="B23" s="8"/>
      <c r="E23" s="76"/>
      <c r="F23" s="30">
        <f>SUM(B23:E23)</f>
        <v>0</v>
      </c>
      <c r="G23" s="606">
        <v>0</v>
      </c>
      <c r="H23" s="15">
        <f>F23*G23</f>
        <v>0</v>
      </c>
      <c r="I23" s="19"/>
      <c r="J23" s="15" t="s">
        <v>30</v>
      </c>
      <c r="O23" s="30">
        <f>SUM(K23:N23)</f>
        <v>0</v>
      </c>
      <c r="P23" s="76">
        <v>800</v>
      </c>
      <c r="Q23" s="15">
        <f>O23*P23</f>
        <v>0</v>
      </c>
      <c r="R23" s="19"/>
    </row>
    <row r="24" spans="1:26" x14ac:dyDescent="0.2">
      <c r="A24" s="15" t="s">
        <v>31</v>
      </c>
      <c r="B24" s="8">
        <v>66</v>
      </c>
      <c r="E24" s="76"/>
      <c r="F24" s="30">
        <f>SUM(B24:E24)</f>
        <v>66</v>
      </c>
      <c r="G24" s="606">
        <v>2706</v>
      </c>
      <c r="H24" s="15">
        <f>F24*G24</f>
        <v>178596</v>
      </c>
      <c r="I24" s="19"/>
      <c r="J24" s="15" t="s">
        <v>31</v>
      </c>
      <c r="K24">
        <v>21</v>
      </c>
      <c r="O24" s="30">
        <f>SUM(K24:N24)</f>
        <v>21</v>
      </c>
      <c r="P24" s="76">
        <v>2000</v>
      </c>
      <c r="Q24" s="15">
        <f>O24*P24</f>
        <v>42000</v>
      </c>
      <c r="R24" s="19"/>
    </row>
    <row r="25" spans="1:26" x14ac:dyDescent="0.2">
      <c r="A25" s="16" t="s">
        <v>5</v>
      </c>
      <c r="B25" s="16"/>
      <c r="C25" s="16"/>
      <c r="D25" s="16"/>
      <c r="E25" s="16"/>
      <c r="F25" s="31"/>
      <c r="G25" s="604"/>
      <c r="H25" s="16">
        <f>SUM(H21:H24)</f>
        <v>282660</v>
      </c>
      <c r="I25" s="20"/>
      <c r="J25" s="16" t="s">
        <v>5</v>
      </c>
      <c r="K25" s="16"/>
      <c r="L25" s="16"/>
      <c r="M25" s="16"/>
      <c r="N25" s="16"/>
      <c r="O25" s="31"/>
      <c r="P25" s="90"/>
      <c r="Q25" s="16">
        <f>SUM(Q21:Q24)</f>
        <v>65450</v>
      </c>
      <c r="R25" s="20"/>
      <c r="Y25" s="77"/>
    </row>
    <row r="26" spans="1:26" x14ac:dyDescent="0.2">
      <c r="A26" s="18"/>
      <c r="B26" s="18"/>
      <c r="C26" s="18"/>
      <c r="D26" s="18"/>
      <c r="E26" s="18"/>
      <c r="F26" s="32"/>
      <c r="G26" s="605"/>
      <c r="H26" s="18"/>
      <c r="I26" s="22"/>
      <c r="J26" s="18"/>
      <c r="K26" s="18"/>
      <c r="L26" s="18"/>
      <c r="M26" s="18"/>
      <c r="N26" s="18"/>
      <c r="O26" s="32"/>
      <c r="P26" s="91"/>
      <c r="Q26" s="18"/>
      <c r="R26" s="22"/>
      <c r="Y26" s="77"/>
    </row>
    <row r="27" spans="1:26" ht="15.75" x14ac:dyDescent="0.25">
      <c r="A27" s="14" t="s">
        <v>2</v>
      </c>
      <c r="B27" s="1"/>
      <c r="C27" s="1"/>
      <c r="D27" s="1"/>
      <c r="E27" s="1"/>
      <c r="F27" s="30"/>
      <c r="G27" s="603"/>
      <c r="H27" s="1"/>
      <c r="I27" s="12"/>
      <c r="J27" s="1"/>
      <c r="K27" s="1"/>
      <c r="L27" s="1"/>
      <c r="M27" s="1"/>
      <c r="N27" s="1"/>
      <c r="O27" s="30"/>
      <c r="Q27" s="1"/>
      <c r="R27" s="12"/>
      <c r="S27" s="14" t="s">
        <v>2</v>
      </c>
      <c r="T27" s="15"/>
      <c r="U27" s="15"/>
      <c r="Y27" s="77"/>
    </row>
    <row r="28" spans="1:26" x14ac:dyDescent="0.2">
      <c r="A28" s="1" t="s">
        <v>28</v>
      </c>
      <c r="E28">
        <v>1280</v>
      </c>
      <c r="F28" s="30">
        <f>SUM(B28:E28)</f>
        <v>1280</v>
      </c>
      <c r="G28" s="606">
        <v>562</v>
      </c>
      <c r="H28" s="15">
        <f>F28*G28</f>
        <v>719360</v>
      </c>
      <c r="I28" s="12"/>
      <c r="J28" s="1" t="s">
        <v>28</v>
      </c>
      <c r="K28" s="15"/>
      <c r="L28" s="15"/>
      <c r="M28" s="15"/>
      <c r="N28" s="15"/>
      <c r="O28" s="30">
        <f t="shared" ref="O28:O33" si="1">SUM(K28:N28)</f>
        <v>0</v>
      </c>
      <c r="P28" s="76"/>
      <c r="Q28" s="15">
        <f>O28*P28</f>
        <v>0</v>
      </c>
      <c r="R28" s="12"/>
      <c r="S28" s="1" t="s">
        <v>28</v>
      </c>
      <c r="T28" s="76">
        <v>4</v>
      </c>
      <c r="U28" s="76"/>
      <c r="V28" s="76"/>
      <c r="W28" s="76"/>
      <c r="X28" s="30">
        <f>SUM(T28:W28)</f>
        <v>4</v>
      </c>
      <c r="Y28" s="607">
        <v>562</v>
      </c>
      <c r="Z28" s="15">
        <f>X28*Y28</f>
        <v>2248</v>
      </c>
    </row>
    <row r="29" spans="1:26" x14ac:dyDescent="0.2">
      <c r="A29" s="1" t="s">
        <v>29</v>
      </c>
      <c r="E29">
        <v>249</v>
      </c>
      <c r="F29" s="30">
        <f>SUM(B29:E29)</f>
        <v>249</v>
      </c>
      <c r="G29" s="606">
        <v>0</v>
      </c>
      <c r="H29" s="15">
        <f>F29*G29</f>
        <v>0</v>
      </c>
      <c r="I29" s="12"/>
      <c r="J29" s="1" t="s">
        <v>29</v>
      </c>
      <c r="K29" s="15"/>
      <c r="L29" s="15"/>
      <c r="M29" s="15"/>
      <c r="N29" s="15"/>
      <c r="O29" s="30">
        <f t="shared" si="1"/>
        <v>0</v>
      </c>
      <c r="P29" s="76"/>
      <c r="Q29" s="15">
        <f>O29*P29</f>
        <v>0</v>
      </c>
      <c r="R29" s="12"/>
      <c r="S29" s="1" t="s">
        <v>29</v>
      </c>
      <c r="T29" s="76">
        <v>3</v>
      </c>
      <c r="U29" s="76"/>
      <c r="V29" s="76"/>
      <c r="W29" s="76"/>
      <c r="X29" s="30">
        <f>SUM(T29:W29)</f>
        <v>3</v>
      </c>
      <c r="Y29" s="607">
        <v>1298</v>
      </c>
      <c r="Z29" s="15">
        <f>X29*Y29</f>
        <v>3894</v>
      </c>
    </row>
    <row r="30" spans="1:26" x14ac:dyDescent="0.2">
      <c r="A30" s="1" t="s">
        <v>30</v>
      </c>
      <c r="E30">
        <v>217</v>
      </c>
      <c r="F30" s="30">
        <f>SUM(B30:E30)</f>
        <v>217</v>
      </c>
      <c r="G30" s="606">
        <v>0</v>
      </c>
      <c r="H30" s="15">
        <f>F30*G30</f>
        <v>0</v>
      </c>
      <c r="I30" s="12"/>
      <c r="J30" s="1" t="s">
        <v>30</v>
      </c>
      <c r="K30" s="15"/>
      <c r="L30" s="15"/>
      <c r="M30" s="15"/>
      <c r="N30" s="15"/>
      <c r="O30" s="30">
        <f t="shared" si="1"/>
        <v>0</v>
      </c>
      <c r="P30" s="76"/>
      <c r="Q30" s="15">
        <f>O30*P30</f>
        <v>0</v>
      </c>
      <c r="R30" s="12"/>
      <c r="S30" s="1" t="s">
        <v>30</v>
      </c>
      <c r="T30" s="76">
        <v>8</v>
      </c>
      <c r="U30" s="76"/>
      <c r="V30" s="76"/>
      <c r="W30" s="76"/>
      <c r="X30" s="30">
        <f>SUM(T30:W30)</f>
        <v>8</v>
      </c>
      <c r="Y30" s="607">
        <v>2164</v>
      </c>
      <c r="Z30" s="15">
        <f>X30*Y30</f>
        <v>17312</v>
      </c>
    </row>
    <row r="31" spans="1:26" x14ac:dyDescent="0.2">
      <c r="A31" s="1" t="s">
        <v>31</v>
      </c>
      <c r="E31">
        <v>188</v>
      </c>
      <c r="F31" s="30">
        <f>SUM(B31:E31)</f>
        <v>188</v>
      </c>
      <c r="G31" s="606">
        <v>0</v>
      </c>
      <c r="H31" s="15">
        <f>F31*G31</f>
        <v>0</v>
      </c>
      <c r="I31" s="12"/>
      <c r="J31" s="1" t="s">
        <v>31</v>
      </c>
      <c r="K31" s="15"/>
      <c r="L31" s="15"/>
      <c r="M31" s="15"/>
      <c r="N31" s="15"/>
      <c r="O31" s="30">
        <f t="shared" si="1"/>
        <v>0</v>
      </c>
      <c r="P31" s="76"/>
      <c r="Q31" s="15">
        <f>O31*P31</f>
        <v>0</v>
      </c>
      <c r="R31" s="12"/>
      <c r="S31" s="1" t="s">
        <v>31</v>
      </c>
      <c r="T31" s="76"/>
      <c r="U31" s="76"/>
      <c r="V31" s="76"/>
      <c r="W31" s="76"/>
      <c r="X31" s="30">
        <f>SUM(T31:W31)</f>
        <v>0</v>
      </c>
      <c r="Y31" s="607">
        <v>3787</v>
      </c>
      <c r="Z31" s="15">
        <f>X31*Y31</f>
        <v>0</v>
      </c>
    </row>
    <row r="32" spans="1:26" x14ac:dyDescent="0.2">
      <c r="A32" s="76" t="s">
        <v>125</v>
      </c>
      <c r="E32">
        <v>384</v>
      </c>
      <c r="F32" s="30">
        <f>SUM(B32:E32)</f>
        <v>384</v>
      </c>
      <c r="G32" s="602"/>
      <c r="H32" s="15">
        <f>F32*G32</f>
        <v>0</v>
      </c>
      <c r="I32" s="12"/>
      <c r="J32" s="1"/>
      <c r="K32" s="15"/>
      <c r="L32" s="15"/>
      <c r="M32" s="15"/>
      <c r="N32" s="15"/>
      <c r="O32" s="30"/>
      <c r="P32" s="76"/>
      <c r="Q32" s="15"/>
      <c r="R32" s="12"/>
      <c r="S32" s="1" t="s">
        <v>32</v>
      </c>
      <c r="T32" s="76"/>
      <c r="U32" s="76"/>
      <c r="V32" s="76"/>
      <c r="W32" s="76"/>
      <c r="X32" s="30">
        <f>SUM(T32:W32)</f>
        <v>0</v>
      </c>
      <c r="Y32" s="607">
        <v>11902</v>
      </c>
      <c r="Z32" s="15">
        <f>X32*Y32</f>
        <v>0</v>
      </c>
    </row>
    <row r="33" spans="1:26" x14ac:dyDescent="0.2">
      <c r="A33" s="2" t="s">
        <v>5</v>
      </c>
      <c r="B33" s="16"/>
      <c r="C33" s="16"/>
      <c r="D33" s="16"/>
      <c r="E33" s="16"/>
      <c r="F33" s="31"/>
      <c r="G33" s="604"/>
      <c r="H33" s="16">
        <f>SUM(H28:H32)</f>
        <v>719360</v>
      </c>
      <c r="I33" s="12"/>
      <c r="J33" s="2" t="s">
        <v>5</v>
      </c>
      <c r="K33" s="16"/>
      <c r="L33" s="16"/>
      <c r="M33" s="16"/>
      <c r="N33" s="16"/>
      <c r="O33" s="31">
        <f t="shared" si="1"/>
        <v>0</v>
      </c>
      <c r="P33" s="90"/>
      <c r="Q33" s="16">
        <f>SUM(Q28:Q32)</f>
        <v>0</v>
      </c>
      <c r="R33" s="12"/>
      <c r="S33" s="2" t="s">
        <v>5</v>
      </c>
      <c r="T33" s="16"/>
      <c r="U33" s="16"/>
      <c r="V33" s="16"/>
      <c r="W33" s="16"/>
      <c r="X33" s="16">
        <f>SUM(X28:X32)</f>
        <v>15</v>
      </c>
      <c r="Y33" s="90"/>
      <c r="Z33" s="16">
        <f>SUM(Z28:Z32)</f>
        <v>23454</v>
      </c>
    </row>
    <row r="34" spans="1:26" x14ac:dyDescent="0.2">
      <c r="A34" s="9"/>
      <c r="B34" s="18"/>
      <c r="C34" s="18"/>
      <c r="D34" s="18"/>
      <c r="E34" s="18"/>
      <c r="F34" s="32"/>
      <c r="G34" s="605"/>
      <c r="H34" s="18"/>
      <c r="I34" s="12"/>
      <c r="J34" s="9"/>
      <c r="K34" s="18"/>
      <c r="L34" s="18"/>
      <c r="M34" s="18"/>
      <c r="N34" s="18"/>
      <c r="O34" s="32"/>
      <c r="P34" s="91"/>
      <c r="Q34" s="18"/>
      <c r="R34" s="12"/>
      <c r="S34" s="70"/>
      <c r="X34" s="52"/>
      <c r="Y34" s="77"/>
    </row>
    <row r="35" spans="1:26" ht="15.75" x14ac:dyDescent="0.25">
      <c r="A35" s="14" t="s">
        <v>817</v>
      </c>
      <c r="B35" s="1"/>
      <c r="C35" s="1"/>
      <c r="D35" s="1"/>
      <c r="E35" s="1"/>
      <c r="F35" s="30"/>
      <c r="G35" s="603"/>
      <c r="H35" s="1"/>
      <c r="I35" s="12"/>
      <c r="J35" s="1"/>
      <c r="K35" s="1"/>
      <c r="L35" s="1"/>
      <c r="M35" s="1"/>
      <c r="N35" s="1"/>
      <c r="O35" s="30"/>
      <c r="Q35" s="1"/>
      <c r="R35" s="12"/>
    </row>
    <row r="36" spans="1:26" x14ac:dyDescent="0.2">
      <c r="A36" s="1" t="s">
        <v>28</v>
      </c>
      <c r="B36">
        <v>1549</v>
      </c>
      <c r="E36" s="562"/>
      <c r="F36" s="30">
        <f>SUM(B36:E36)</f>
        <v>1549</v>
      </c>
      <c r="G36" s="606">
        <v>324</v>
      </c>
      <c r="H36" s="15">
        <f>F36*G36</f>
        <v>501876</v>
      </c>
      <c r="I36" s="19"/>
      <c r="J36" s="15" t="s">
        <v>28</v>
      </c>
      <c r="K36" s="15"/>
      <c r="L36" s="15"/>
      <c r="M36" s="15"/>
      <c r="N36" s="15"/>
      <c r="O36" s="30">
        <f>SUM(K36:N36)</f>
        <v>0</v>
      </c>
      <c r="P36" s="84"/>
      <c r="Q36" s="15">
        <f>O36*P36</f>
        <v>0</v>
      </c>
      <c r="R36" s="19"/>
    </row>
    <row r="37" spans="1:26" x14ac:dyDescent="0.2">
      <c r="A37" s="1" t="s">
        <v>29</v>
      </c>
      <c r="B37">
        <v>797</v>
      </c>
      <c r="E37" s="562"/>
      <c r="F37" s="30">
        <f>SUM(B37:E37)</f>
        <v>797</v>
      </c>
      <c r="G37" s="606">
        <v>649</v>
      </c>
      <c r="H37" s="15">
        <f>F37*G37</f>
        <v>517253</v>
      </c>
      <c r="I37" s="19"/>
      <c r="J37" s="15" t="s">
        <v>29</v>
      </c>
      <c r="K37" s="15"/>
      <c r="L37" s="15"/>
      <c r="M37" s="15"/>
      <c r="N37" s="15"/>
      <c r="O37" s="30">
        <f>SUM(K37:N37)</f>
        <v>0</v>
      </c>
      <c r="P37" s="84"/>
      <c r="Q37" s="15">
        <f>O37*P37</f>
        <v>0</v>
      </c>
      <c r="R37" s="19"/>
    </row>
    <row r="38" spans="1:26" x14ac:dyDescent="0.2">
      <c r="A38" s="1" t="s">
        <v>30</v>
      </c>
      <c r="B38">
        <v>409</v>
      </c>
      <c r="E38" s="562"/>
      <c r="F38" s="30">
        <f>SUM(B38:E38)</f>
        <v>409</v>
      </c>
      <c r="G38" s="606">
        <v>1840</v>
      </c>
      <c r="H38" s="15">
        <f>F38*G38</f>
        <v>752560</v>
      </c>
      <c r="I38" s="19"/>
      <c r="J38" s="15" t="s">
        <v>30</v>
      </c>
      <c r="K38" s="15"/>
      <c r="L38" s="15"/>
      <c r="M38" s="15"/>
      <c r="N38" s="15"/>
      <c r="O38" s="30">
        <f>SUM(K38:N38)</f>
        <v>0</v>
      </c>
      <c r="P38" s="84"/>
      <c r="Q38" s="15">
        <f>O38*P38</f>
        <v>0</v>
      </c>
      <c r="R38" s="19"/>
    </row>
    <row r="39" spans="1:26" x14ac:dyDescent="0.2">
      <c r="A39" s="1" t="s">
        <v>31</v>
      </c>
      <c r="B39">
        <v>115</v>
      </c>
      <c r="E39" s="562"/>
      <c r="F39" s="30">
        <f>SUM(B39:E39)</f>
        <v>115</v>
      </c>
      <c r="G39" s="606">
        <v>2272</v>
      </c>
      <c r="H39" s="15">
        <f>F39*G39</f>
        <v>261280</v>
      </c>
      <c r="I39" s="19"/>
      <c r="J39" s="15" t="s">
        <v>31</v>
      </c>
      <c r="K39" s="15"/>
      <c r="L39" s="15"/>
      <c r="M39" s="15"/>
      <c r="N39" s="15"/>
      <c r="O39" s="30">
        <f>SUM(K39:N39)</f>
        <v>0</v>
      </c>
      <c r="P39" s="84"/>
      <c r="Q39" s="15">
        <f>O39*P39</f>
        <v>0</v>
      </c>
      <c r="R39" s="19"/>
    </row>
    <row r="40" spans="1:26" x14ac:dyDescent="0.2">
      <c r="A40" s="2" t="s">
        <v>5</v>
      </c>
      <c r="B40" s="16"/>
      <c r="C40" s="16"/>
      <c r="D40" s="16"/>
      <c r="E40" s="16"/>
      <c r="F40" s="31"/>
      <c r="G40" s="604"/>
      <c r="H40" s="16">
        <f>SUM(H36:H39)</f>
        <v>2032969</v>
      </c>
      <c r="I40" s="20"/>
      <c r="J40" s="16" t="s">
        <v>5</v>
      </c>
      <c r="K40" s="16"/>
      <c r="L40" s="16"/>
      <c r="M40" s="16"/>
      <c r="N40" s="16"/>
      <c r="O40" s="31">
        <f>SUM(K40:N40)</f>
        <v>0</v>
      </c>
      <c r="P40" s="90"/>
      <c r="Q40" s="16">
        <f>SUM(Q36:Q39)</f>
        <v>0</v>
      </c>
      <c r="R40" s="20"/>
    </row>
    <row r="41" spans="1:26" x14ac:dyDescent="0.2">
      <c r="A41" s="1"/>
      <c r="B41" s="15"/>
      <c r="C41" s="15"/>
      <c r="D41" s="15"/>
      <c r="E41" s="15"/>
      <c r="F41" s="32"/>
      <c r="G41" s="602"/>
      <c r="H41" s="15"/>
      <c r="I41" s="12"/>
      <c r="J41" s="1"/>
      <c r="K41" s="15"/>
      <c r="L41" s="15"/>
      <c r="M41" s="15"/>
      <c r="N41" s="15"/>
      <c r="O41" s="32"/>
      <c r="P41" s="76"/>
      <c r="Q41" s="15"/>
      <c r="R41" s="12"/>
    </row>
    <row r="42" spans="1:26" ht="15.75" x14ac:dyDescent="0.25">
      <c r="A42" s="21" t="s">
        <v>150</v>
      </c>
      <c r="B42" s="15"/>
      <c r="C42" s="15"/>
      <c r="D42" s="15"/>
      <c r="E42" s="15"/>
      <c r="F42" s="32"/>
      <c r="G42" s="602"/>
      <c r="H42" s="15"/>
      <c r="I42" s="19"/>
      <c r="J42" s="15"/>
      <c r="K42" s="15"/>
      <c r="L42" s="15"/>
      <c r="M42" s="15"/>
      <c r="N42" s="15"/>
      <c r="O42" s="32"/>
      <c r="P42" s="76"/>
      <c r="Q42" s="15"/>
      <c r="R42" s="19"/>
    </row>
    <row r="43" spans="1:26" x14ac:dyDescent="0.2">
      <c r="A43" s="15" t="s">
        <v>28</v>
      </c>
      <c r="B43">
        <v>768</v>
      </c>
      <c r="F43" s="30">
        <f>SUM(B43:E43)</f>
        <v>768</v>
      </c>
      <c r="G43" s="606">
        <v>270</v>
      </c>
      <c r="H43" s="15">
        <f>F43*G43</f>
        <v>207360</v>
      </c>
      <c r="I43" s="19"/>
      <c r="J43" s="15" t="s">
        <v>28</v>
      </c>
      <c r="O43" s="30">
        <f>SUM(K43:N43)</f>
        <v>0</v>
      </c>
      <c r="P43" s="76"/>
      <c r="Q43" s="15">
        <f>O43*P43</f>
        <v>0</v>
      </c>
      <c r="R43" s="19"/>
    </row>
    <row r="44" spans="1:26" x14ac:dyDescent="0.2">
      <c r="A44" s="15" t="s">
        <v>29</v>
      </c>
      <c r="B44">
        <v>98</v>
      </c>
      <c r="F44" s="30">
        <f>SUM(B44:E44)</f>
        <v>98</v>
      </c>
      <c r="G44" s="606">
        <v>379</v>
      </c>
      <c r="H44" s="15">
        <f>F44*G44</f>
        <v>37142</v>
      </c>
      <c r="I44" s="19"/>
      <c r="J44" s="15" t="s">
        <v>29</v>
      </c>
      <c r="O44" s="30">
        <f>SUM(K44:N44)</f>
        <v>0</v>
      </c>
      <c r="P44" s="76"/>
      <c r="Q44" s="15">
        <f>O44*P44</f>
        <v>0</v>
      </c>
      <c r="R44" s="19"/>
    </row>
    <row r="45" spans="1:26" x14ac:dyDescent="0.2">
      <c r="A45" s="15" t="s">
        <v>30</v>
      </c>
      <c r="B45">
        <v>45</v>
      </c>
      <c r="E45" s="76"/>
      <c r="F45" s="30">
        <f>SUM(B45:E45)</f>
        <v>45</v>
      </c>
      <c r="G45" s="606">
        <v>433</v>
      </c>
      <c r="H45" s="15">
        <f>F45*G45</f>
        <v>19485</v>
      </c>
      <c r="I45" s="19"/>
      <c r="J45" s="15" t="s">
        <v>30</v>
      </c>
      <c r="K45" s="15"/>
      <c r="L45" s="15"/>
      <c r="M45" s="15"/>
      <c r="N45" s="15"/>
      <c r="O45" s="30">
        <f>SUM(K45:N45)</f>
        <v>0</v>
      </c>
      <c r="P45" s="76"/>
      <c r="Q45" s="15">
        <f>O45*P45</f>
        <v>0</v>
      </c>
      <c r="R45" s="19"/>
    </row>
    <row r="46" spans="1:26" x14ac:dyDescent="0.2">
      <c r="A46" s="15" t="s">
        <v>31</v>
      </c>
      <c r="B46">
        <v>716</v>
      </c>
      <c r="E46" s="76"/>
      <c r="F46" s="30">
        <f>SUM(B46:E46)</f>
        <v>716</v>
      </c>
      <c r="G46" s="606">
        <v>2272</v>
      </c>
      <c r="H46" s="15">
        <f>F46*G46</f>
        <v>1626752</v>
      </c>
      <c r="I46" s="19"/>
      <c r="J46" s="15" t="s">
        <v>31</v>
      </c>
      <c r="K46" s="15"/>
      <c r="L46" s="15"/>
      <c r="M46" s="15"/>
      <c r="N46" s="15"/>
      <c r="O46" s="30">
        <f>SUM(K46:N46)</f>
        <v>0</v>
      </c>
      <c r="P46" s="76"/>
      <c r="Q46" s="15">
        <f>O46*P46</f>
        <v>0</v>
      </c>
      <c r="R46" s="19"/>
    </row>
    <row r="47" spans="1:26" x14ac:dyDescent="0.2">
      <c r="A47" s="16" t="s">
        <v>5</v>
      </c>
      <c r="B47" s="16"/>
      <c r="C47" s="16"/>
      <c r="D47" s="16"/>
      <c r="E47" s="16"/>
      <c r="F47" s="31"/>
      <c r="G47" s="604"/>
      <c r="H47" s="16">
        <f>SUM(H43:H46)</f>
        <v>1890739</v>
      </c>
      <c r="I47" s="20"/>
      <c r="J47" s="16" t="s">
        <v>5</v>
      </c>
      <c r="K47" s="16"/>
      <c r="L47" s="16"/>
      <c r="M47" s="16"/>
      <c r="N47" s="16"/>
      <c r="O47" s="31"/>
      <c r="P47" s="90"/>
      <c r="Q47" s="16">
        <f>SUM(Q43:Q46)</f>
        <v>0</v>
      </c>
      <c r="R47" s="20"/>
    </row>
    <row r="48" spans="1:26" x14ac:dyDescent="0.2">
      <c r="A48" s="18"/>
      <c r="B48" s="18"/>
      <c r="C48" s="18"/>
      <c r="D48" s="18"/>
      <c r="E48" s="18"/>
      <c r="F48" s="32"/>
      <c r="G48" s="605"/>
      <c r="H48" s="18"/>
      <c r="I48" s="22"/>
      <c r="J48" s="18"/>
      <c r="K48" s="18"/>
      <c r="L48" s="18"/>
      <c r="M48" s="18"/>
      <c r="N48" s="18"/>
      <c r="O48" s="32"/>
      <c r="P48" s="91"/>
      <c r="Q48" s="18"/>
      <c r="R48" s="22"/>
    </row>
    <row r="49" spans="1:25" ht="15.75" x14ac:dyDescent="0.25">
      <c r="A49" s="21" t="s">
        <v>654</v>
      </c>
      <c r="B49" s="15"/>
      <c r="C49" s="15"/>
      <c r="D49" s="15"/>
      <c r="E49" s="15"/>
      <c r="F49" s="32"/>
      <c r="G49" s="602"/>
      <c r="H49" s="15"/>
      <c r="I49" s="19"/>
      <c r="J49" s="15"/>
      <c r="K49" s="15"/>
      <c r="L49" s="15"/>
      <c r="M49" s="15"/>
      <c r="N49" s="15"/>
      <c r="O49" s="32"/>
      <c r="P49" s="76"/>
      <c r="Q49" s="15"/>
      <c r="R49" s="19"/>
      <c r="Y49" s="77"/>
    </row>
    <row r="50" spans="1:25" x14ac:dyDescent="0.2">
      <c r="A50" s="15" t="s">
        <v>28</v>
      </c>
      <c r="B50">
        <v>780</v>
      </c>
      <c r="C50" s="8"/>
      <c r="D50" s="8"/>
      <c r="E50" s="76"/>
      <c r="F50" s="30">
        <f t="shared" ref="F50:F53" si="2">SUM(B50:E50)</f>
        <v>780</v>
      </c>
      <c r="G50" s="606">
        <v>324</v>
      </c>
      <c r="H50" s="15">
        <f>F50*G50</f>
        <v>252720</v>
      </c>
      <c r="I50" s="19"/>
      <c r="J50" s="15" t="s">
        <v>28</v>
      </c>
      <c r="K50" s="15"/>
      <c r="L50" s="15"/>
      <c r="M50" s="15"/>
      <c r="N50" s="15"/>
      <c r="O50" s="30">
        <f>SUM(K50:N50)</f>
        <v>0</v>
      </c>
      <c r="P50" s="76"/>
      <c r="Q50" s="15">
        <f>O50*P50</f>
        <v>0</v>
      </c>
      <c r="R50" s="19"/>
      <c r="Y50" s="77"/>
    </row>
    <row r="51" spans="1:25" x14ac:dyDescent="0.2">
      <c r="A51" s="15" t="s">
        <v>29</v>
      </c>
      <c r="B51">
        <v>779</v>
      </c>
      <c r="C51" s="8"/>
      <c r="D51" s="8"/>
      <c r="E51" s="76"/>
      <c r="F51" s="30">
        <f t="shared" si="2"/>
        <v>779</v>
      </c>
      <c r="G51" s="606">
        <v>973</v>
      </c>
      <c r="H51" s="15">
        <f>F51*G51</f>
        <v>757967</v>
      </c>
      <c r="I51" s="19"/>
      <c r="J51" s="15" t="s">
        <v>29</v>
      </c>
      <c r="K51" s="15"/>
      <c r="L51" s="15"/>
      <c r="M51" s="15"/>
      <c r="N51" s="15"/>
      <c r="O51" s="30">
        <f>SUM(K51:N51)</f>
        <v>0</v>
      </c>
      <c r="P51" s="76"/>
      <c r="Q51" s="15">
        <f>O51*P51</f>
        <v>0</v>
      </c>
      <c r="R51" s="19"/>
    </row>
    <row r="52" spans="1:25" x14ac:dyDescent="0.2">
      <c r="A52" s="15" t="s">
        <v>30</v>
      </c>
      <c r="B52">
        <v>0</v>
      </c>
      <c r="C52" s="8"/>
      <c r="D52" s="8"/>
      <c r="E52" s="76"/>
      <c r="F52" s="30">
        <f t="shared" si="2"/>
        <v>0</v>
      </c>
      <c r="G52" s="606">
        <v>0</v>
      </c>
      <c r="H52" s="15">
        <f>F52*G52</f>
        <v>0</v>
      </c>
      <c r="I52" s="19"/>
      <c r="J52" s="15" t="s">
        <v>30</v>
      </c>
      <c r="K52" s="15"/>
      <c r="L52" s="15"/>
      <c r="M52" s="15"/>
      <c r="N52" s="15"/>
      <c r="O52" s="30">
        <f>SUM(K52:N52)</f>
        <v>0</v>
      </c>
      <c r="P52" s="76"/>
      <c r="Q52" s="15">
        <f>O52*P52</f>
        <v>0</v>
      </c>
      <c r="R52" s="19"/>
    </row>
    <row r="53" spans="1:25" x14ac:dyDescent="0.2">
      <c r="A53" s="15" t="s">
        <v>31</v>
      </c>
      <c r="B53">
        <v>574</v>
      </c>
      <c r="C53" s="8"/>
      <c r="D53" s="8"/>
      <c r="E53" s="76"/>
      <c r="F53" s="30">
        <f t="shared" si="2"/>
        <v>574</v>
      </c>
      <c r="G53" s="606">
        <v>1407</v>
      </c>
      <c r="H53" s="15">
        <f>F53*G53</f>
        <v>807618</v>
      </c>
      <c r="I53" s="19"/>
      <c r="J53" s="15" t="s">
        <v>31</v>
      </c>
      <c r="K53" s="15"/>
      <c r="L53" s="15"/>
      <c r="M53" s="15"/>
      <c r="N53" s="15"/>
      <c r="O53" s="30">
        <f>SUM(K53:N53)</f>
        <v>0</v>
      </c>
      <c r="P53" s="76"/>
      <c r="Q53" s="15">
        <f>O53*P53</f>
        <v>0</v>
      </c>
      <c r="R53" s="19"/>
    </row>
    <row r="54" spans="1:25" x14ac:dyDescent="0.2">
      <c r="A54" s="16" t="s">
        <v>5</v>
      </c>
      <c r="B54" s="16"/>
      <c r="C54" s="16"/>
      <c r="D54" s="16"/>
      <c r="E54" s="16"/>
      <c r="F54" s="31"/>
      <c r="G54" s="604"/>
      <c r="H54" s="16">
        <f>SUM(H50:H53)</f>
        <v>1818305</v>
      </c>
      <c r="I54" s="20"/>
      <c r="J54" s="16" t="s">
        <v>5</v>
      </c>
      <c r="K54" s="16"/>
      <c r="L54" s="16"/>
      <c r="M54" s="16"/>
      <c r="N54" s="16"/>
      <c r="O54" s="31">
        <f>SUM(K54:N54)</f>
        <v>0</v>
      </c>
      <c r="P54" s="90"/>
      <c r="Q54" s="16">
        <f>SUM(Q50:Q53)</f>
        <v>0</v>
      </c>
      <c r="R54" s="20"/>
    </row>
    <row r="55" spans="1:25" x14ac:dyDescent="0.2">
      <c r="A55" s="1"/>
      <c r="B55" s="1"/>
      <c r="C55" s="1"/>
      <c r="D55" s="1"/>
      <c r="E55" s="1"/>
      <c r="F55" s="30"/>
      <c r="G55" s="603"/>
      <c r="H55" s="1"/>
      <c r="I55" s="12"/>
      <c r="J55" s="1"/>
      <c r="K55" s="1"/>
      <c r="L55" s="1"/>
      <c r="M55" s="1"/>
      <c r="N55" s="1"/>
      <c r="O55" s="30"/>
      <c r="Q55" s="1"/>
      <c r="R55" s="12"/>
    </row>
    <row r="56" spans="1:25" ht="15.75" x14ac:dyDescent="0.25">
      <c r="A56" s="21" t="s">
        <v>4</v>
      </c>
      <c r="B56" s="15"/>
      <c r="C56" s="15"/>
      <c r="D56" s="15"/>
      <c r="E56" s="15"/>
      <c r="F56" s="32"/>
      <c r="G56" s="602"/>
      <c r="H56" s="15"/>
      <c r="I56" s="19"/>
      <c r="J56" s="15"/>
      <c r="K56" s="15"/>
      <c r="L56" s="15"/>
      <c r="M56" s="15"/>
      <c r="N56" s="15"/>
      <c r="O56" s="32"/>
      <c r="P56" s="76"/>
      <c r="Q56" s="15"/>
      <c r="R56" s="19"/>
    </row>
    <row r="57" spans="1:25" x14ac:dyDescent="0.2">
      <c r="A57" s="15" t="s">
        <v>28</v>
      </c>
      <c r="B57">
        <v>188</v>
      </c>
      <c r="F57" s="30">
        <f>SUM(B57:E57)</f>
        <v>188</v>
      </c>
      <c r="G57" s="606">
        <v>108</v>
      </c>
      <c r="H57" s="15">
        <f>F57*G57</f>
        <v>20304</v>
      </c>
      <c r="I57" s="19"/>
      <c r="J57" s="15" t="s">
        <v>28</v>
      </c>
      <c r="K57" s="15"/>
      <c r="L57" s="15"/>
      <c r="M57" s="15"/>
      <c r="N57" s="15"/>
      <c r="O57" s="30">
        <f t="shared" ref="O57:O62" si="3">SUM(K57:N57)</f>
        <v>0</v>
      </c>
      <c r="P57" s="76"/>
      <c r="Q57" s="15">
        <f>O57*P57</f>
        <v>0</v>
      </c>
      <c r="R57" s="19"/>
    </row>
    <row r="58" spans="1:25" x14ac:dyDescent="0.2">
      <c r="A58" s="15" t="s">
        <v>29</v>
      </c>
      <c r="B58">
        <v>226</v>
      </c>
      <c r="F58" s="30">
        <f>SUM(B58:E58)</f>
        <v>226</v>
      </c>
      <c r="G58" s="606">
        <v>812</v>
      </c>
      <c r="H58" s="15">
        <f>F58*G58</f>
        <v>183512</v>
      </c>
      <c r="I58" s="19"/>
      <c r="J58" s="15" t="s">
        <v>29</v>
      </c>
      <c r="K58" s="15"/>
      <c r="L58" s="15"/>
      <c r="M58" s="15"/>
      <c r="N58" s="15"/>
      <c r="O58" s="30">
        <f t="shared" si="3"/>
        <v>0</v>
      </c>
      <c r="P58" s="76"/>
      <c r="Q58" s="15">
        <f>O58*P58</f>
        <v>0</v>
      </c>
      <c r="R58" s="19"/>
    </row>
    <row r="59" spans="1:25" x14ac:dyDescent="0.2">
      <c r="A59" s="15" t="s">
        <v>30</v>
      </c>
      <c r="B59">
        <v>67</v>
      </c>
      <c r="F59" s="30">
        <f>SUM(B59:E59)</f>
        <v>67</v>
      </c>
      <c r="G59" s="606">
        <v>1298</v>
      </c>
      <c r="H59" s="15">
        <f>F59*G59</f>
        <v>86966</v>
      </c>
      <c r="I59" s="19"/>
      <c r="J59" s="15" t="s">
        <v>30</v>
      </c>
      <c r="K59" s="15"/>
      <c r="L59" s="15"/>
      <c r="M59" s="15"/>
      <c r="N59" s="15"/>
      <c r="O59" s="30">
        <f t="shared" si="3"/>
        <v>0</v>
      </c>
      <c r="P59" s="76"/>
      <c r="Q59" s="15">
        <f>O59*P59</f>
        <v>0</v>
      </c>
      <c r="R59" s="19"/>
    </row>
    <row r="60" spans="1:25" x14ac:dyDescent="0.2">
      <c r="A60" s="15" t="s">
        <v>31</v>
      </c>
      <c r="B60">
        <v>14</v>
      </c>
      <c r="F60" s="30">
        <f>SUM(B60:E60)</f>
        <v>14</v>
      </c>
      <c r="G60" s="606">
        <v>1623</v>
      </c>
      <c r="H60" s="15">
        <f>F60*G60</f>
        <v>22722</v>
      </c>
      <c r="I60" s="19"/>
      <c r="J60" s="15" t="s">
        <v>31</v>
      </c>
      <c r="K60" s="15"/>
      <c r="L60" s="15"/>
      <c r="M60" s="15"/>
      <c r="N60" s="15"/>
      <c r="O60" s="30">
        <f t="shared" si="3"/>
        <v>0</v>
      </c>
      <c r="P60" s="76"/>
      <c r="Q60" s="15">
        <f>O60*P60</f>
        <v>0</v>
      </c>
      <c r="R60" s="19"/>
    </row>
    <row r="61" spans="1:25" x14ac:dyDescent="0.2">
      <c r="A61" s="76" t="s">
        <v>125</v>
      </c>
      <c r="B61">
        <v>0</v>
      </c>
      <c r="F61" s="30">
        <f>SUM(B61:E61)</f>
        <v>0</v>
      </c>
      <c r="G61" s="602"/>
      <c r="H61" s="15">
        <f>F61*G61</f>
        <v>0</v>
      </c>
      <c r="I61" s="19"/>
      <c r="J61" s="15"/>
      <c r="K61" s="15"/>
      <c r="L61" s="15"/>
      <c r="M61" s="15"/>
      <c r="N61" s="15"/>
      <c r="O61" s="30"/>
      <c r="P61" s="76"/>
      <c r="Q61" s="15"/>
      <c r="R61" s="19"/>
    </row>
    <row r="62" spans="1:25" x14ac:dyDescent="0.2">
      <c r="A62" s="16" t="s">
        <v>5</v>
      </c>
      <c r="B62" s="16"/>
      <c r="C62" s="16"/>
      <c r="D62" s="16"/>
      <c r="E62" s="16"/>
      <c r="F62" s="31"/>
      <c r="G62" s="86"/>
      <c r="H62" s="16">
        <f>SUM(H57:H61)</f>
        <v>313504</v>
      </c>
      <c r="I62" s="20"/>
      <c r="J62" s="16" t="s">
        <v>5</v>
      </c>
      <c r="K62" s="16"/>
      <c r="L62" s="16"/>
      <c r="M62" s="16"/>
      <c r="N62" s="16"/>
      <c r="O62" s="31">
        <f t="shared" si="3"/>
        <v>0</v>
      </c>
      <c r="P62" s="90"/>
      <c r="Q62" s="16">
        <f>SUM(Q57:Q60)</f>
        <v>0</v>
      </c>
      <c r="R62" s="20"/>
    </row>
    <row r="63" spans="1:25" x14ac:dyDescent="0.2">
      <c r="A63" s="18"/>
      <c r="B63" s="18"/>
      <c r="C63" s="18"/>
      <c r="D63" s="18"/>
      <c r="E63" s="18"/>
      <c r="F63" s="30"/>
      <c r="G63" s="87"/>
      <c r="H63" s="18"/>
      <c r="I63" s="22"/>
      <c r="J63" s="18"/>
      <c r="K63" s="18"/>
      <c r="L63" s="18"/>
      <c r="M63" s="18"/>
      <c r="N63" s="18"/>
      <c r="O63" s="30"/>
      <c r="P63" s="91"/>
      <c r="Q63" s="18"/>
      <c r="R63" s="22"/>
    </row>
    <row r="64" spans="1:25" s="520" customFormat="1" x14ac:dyDescent="0.2">
      <c r="A64" s="517"/>
      <c r="B64" s="517"/>
      <c r="C64" s="517"/>
      <c r="D64" s="517"/>
      <c r="E64" s="517"/>
      <c r="F64" s="518"/>
      <c r="G64" s="519"/>
      <c r="H64" s="517"/>
      <c r="I64" s="517"/>
      <c r="J64" s="517"/>
      <c r="K64" s="517"/>
      <c r="L64" s="517"/>
      <c r="M64" s="517"/>
      <c r="N64" s="517"/>
      <c r="O64" s="518"/>
      <c r="P64" s="519"/>
      <c r="Q64" s="517"/>
      <c r="R64" s="517"/>
    </row>
    <row r="65" spans="1:26" ht="15.75" x14ac:dyDescent="0.25">
      <c r="A65" s="14" t="s">
        <v>59</v>
      </c>
      <c r="B65" s="1"/>
      <c r="C65" s="1"/>
      <c r="D65" s="1"/>
      <c r="E65" s="1"/>
      <c r="F65" s="30"/>
      <c r="H65" s="23">
        <f>H47+H10+H40+H18+H25+H33+H54+H62</f>
        <v>8306555</v>
      </c>
      <c r="I65" s="12"/>
      <c r="J65" s="1"/>
      <c r="K65" s="1"/>
      <c r="L65" s="1"/>
      <c r="M65" s="1"/>
      <c r="N65" s="1"/>
      <c r="O65" s="30"/>
      <c r="Q65" s="23">
        <f>Q47+Q10+Q40+Q18+Q25+Q33+Q54+Q62</f>
        <v>65450</v>
      </c>
      <c r="R65" s="12"/>
    </row>
    <row r="66" spans="1:26" x14ac:dyDescent="0.2">
      <c r="A66" s="1"/>
      <c r="B66" s="1"/>
      <c r="C66" s="1"/>
      <c r="D66" s="1"/>
      <c r="E66" s="1"/>
      <c r="F66" s="30"/>
      <c r="G66" s="85" t="s">
        <v>70</v>
      </c>
      <c r="H66" s="1"/>
      <c r="I66" s="12"/>
      <c r="J66" s="1"/>
      <c r="K66" s="1"/>
      <c r="L66" s="1"/>
      <c r="M66" s="1"/>
      <c r="N66" s="1"/>
      <c r="O66" s="30"/>
      <c r="P66" s="77" t="s">
        <v>70</v>
      </c>
      <c r="Q66" s="1"/>
      <c r="R66" s="12"/>
    </row>
    <row r="67" spans="1:26" x14ac:dyDescent="0.2">
      <c r="A67" s="1" t="s">
        <v>28</v>
      </c>
      <c r="B67" s="77">
        <f>SUMIF(A$5:A$63,$A67,B$5:B$63)</f>
        <v>3721</v>
      </c>
      <c r="C67" s="77">
        <f>SUMIF(A$5:A$63,$A67,C$5:C$63)</f>
        <v>0</v>
      </c>
      <c r="D67" s="77">
        <f>SUMIF(A$5:A$63,$A67,D$5:D$63)</f>
        <v>0</v>
      </c>
      <c r="E67" s="77">
        <f>SUMIF(A$5:A$63,$A67,E$5:E$63)</f>
        <v>1280</v>
      </c>
      <c r="F67" s="30">
        <f t="shared" ref="F67:F72" si="4">SUM(B67:E67)</f>
        <v>5001</v>
      </c>
      <c r="G67" s="89">
        <f>H67/F67</f>
        <v>380.80263947210557</v>
      </c>
      <c r="H67" s="23">
        <f t="shared" ref="H67:H71" si="5">SUMIF(A$5:A$63,$A67,H$5:H$63)</f>
        <v>1904394</v>
      </c>
      <c r="I67" s="12"/>
      <c r="J67" s="1" t="s">
        <v>28</v>
      </c>
      <c r="K67" s="77">
        <f>SUMIF(J$5:J$63,$A67,K$5:K$63)</f>
        <v>27</v>
      </c>
      <c r="L67" s="77">
        <f>SUMIF(J$5:J$63,$A67,L$5:L$63)</f>
        <v>0</v>
      </c>
      <c r="M67" s="77">
        <f>SUMIF(J$5:J$63,$A67,M$5:M$63)</f>
        <v>0</v>
      </c>
      <c r="N67" s="77">
        <f>SUMIF(J$5:J$63,$A67,N$5:N$63)</f>
        <v>0</v>
      </c>
      <c r="O67" s="30">
        <f t="shared" ref="O67:O72" si="6">SUM(K67:N67)</f>
        <v>27</v>
      </c>
      <c r="P67" s="92">
        <f>Q67/O67</f>
        <v>350</v>
      </c>
      <c r="Q67" s="23">
        <f t="shared" ref="Q67:Q71" si="7">SUMIF(J$5:J$63,$A67,Q$5:Q$63)</f>
        <v>9450</v>
      </c>
      <c r="R67" s="12"/>
      <c r="S67" s="1" t="s">
        <v>28</v>
      </c>
      <c r="T67" s="1"/>
      <c r="U67" s="1"/>
      <c r="V67" s="1"/>
      <c r="W67" s="1"/>
      <c r="X67" s="30">
        <f>X13+X28</f>
        <v>5</v>
      </c>
      <c r="Z67" s="30">
        <f>Z13+Z28</f>
        <v>2784</v>
      </c>
    </row>
    <row r="68" spans="1:26" x14ac:dyDescent="0.2">
      <c r="A68" s="1" t="s">
        <v>29</v>
      </c>
      <c r="B68" s="77">
        <f>SUMIF(A$5:A$63,$A68,B$5:B$63)</f>
        <v>2728</v>
      </c>
      <c r="C68" s="77">
        <f>SUMIF(A$5:A$63,$A68,C$5:C$63)</f>
        <v>0</v>
      </c>
      <c r="D68" s="77">
        <f>SUMIF(A$5:A$63,$A68,D$5:D$63)</f>
        <v>0</v>
      </c>
      <c r="E68" s="77">
        <f>SUMIF(A$5:A$63,$A68,E$5:E$63)</f>
        <v>249</v>
      </c>
      <c r="F68" s="30">
        <f t="shared" si="4"/>
        <v>2977</v>
      </c>
      <c r="G68" s="89">
        <f>H68/F68</f>
        <v>723.39133355727245</v>
      </c>
      <c r="H68" s="23">
        <f t="shared" si="5"/>
        <v>2153536</v>
      </c>
      <c r="I68" s="12"/>
      <c r="J68" s="1" t="s">
        <v>29</v>
      </c>
      <c r="K68" s="77">
        <f>SUMIF(J$5:J$63,$A68,K$5:K$63)</f>
        <v>28</v>
      </c>
      <c r="L68" s="77">
        <f>SUMIF(J$5:J$63,$A68,L$5:L$63)</f>
        <v>0</v>
      </c>
      <c r="M68" s="77">
        <f>SUMIF(J$5:J$63,$A68,M$5:M$63)</f>
        <v>0</v>
      </c>
      <c r="N68" s="77">
        <f>SUMIF(J$5:J$63,$A68,N$5:N$63)</f>
        <v>0</v>
      </c>
      <c r="O68" s="30">
        <f t="shared" si="6"/>
        <v>28</v>
      </c>
      <c r="P68" s="92">
        <f>Q68/O68</f>
        <v>500</v>
      </c>
      <c r="Q68" s="23">
        <f t="shared" si="7"/>
        <v>14000</v>
      </c>
      <c r="R68" s="12"/>
      <c r="S68" s="1" t="s">
        <v>29</v>
      </c>
      <c r="T68" s="1"/>
      <c r="U68" s="1"/>
      <c r="V68" s="1"/>
      <c r="W68" s="1"/>
      <c r="X68" s="30">
        <f>X14+X29</f>
        <v>3</v>
      </c>
      <c r="Z68" s="30">
        <f>Z14+Z29</f>
        <v>3894</v>
      </c>
    </row>
    <row r="69" spans="1:26" x14ac:dyDescent="0.2">
      <c r="A69" s="1" t="s">
        <v>30</v>
      </c>
      <c r="B69" s="77">
        <f>SUMIF(A$5:A$63,$A69,B$5:B$63)</f>
        <v>924</v>
      </c>
      <c r="C69" s="77">
        <f>SUMIF(A$5:A$63,$A69,C$5:C$63)</f>
        <v>0</v>
      </c>
      <c r="D69" s="77">
        <f>SUMIF(A$5:A$63,$A69,D$5:D$63)</f>
        <v>0</v>
      </c>
      <c r="E69" s="77">
        <f>SUMIF(A$5:A$63,$A69,E$5:E$63)</f>
        <v>217</v>
      </c>
      <c r="F69" s="30">
        <f t="shared" si="4"/>
        <v>1141</v>
      </c>
      <c r="G69" s="89">
        <f>H69/F69</f>
        <v>1094.7546012269938</v>
      </c>
      <c r="H69" s="23">
        <f t="shared" si="5"/>
        <v>1249115</v>
      </c>
      <c r="I69" s="12"/>
      <c r="J69" s="1" t="s">
        <v>30</v>
      </c>
      <c r="K69" s="77">
        <f>SUMIF(J$5:J$63,$A69,K$5:K$63)</f>
        <v>0</v>
      </c>
      <c r="L69" s="77">
        <f>SUMIF(J$5:J$63,$A69,L$5:L$63)</f>
        <v>0</v>
      </c>
      <c r="M69" s="77">
        <f>SUMIF(J$5:J$63,$A69,M$5:M$63)</f>
        <v>0</v>
      </c>
      <c r="N69" s="77">
        <f>SUMIF(J$5:J$63,$A69,N$5:N$63)</f>
        <v>0</v>
      </c>
      <c r="O69" s="30">
        <f t="shared" si="6"/>
        <v>0</v>
      </c>
      <c r="P69" s="92" t="e">
        <f>Q69/O69</f>
        <v>#DIV/0!</v>
      </c>
      <c r="Q69" s="23">
        <f t="shared" si="7"/>
        <v>0</v>
      </c>
      <c r="R69" s="12"/>
      <c r="S69" s="1" t="s">
        <v>30</v>
      </c>
      <c r="T69" s="1"/>
      <c r="U69" s="1"/>
      <c r="V69" s="1"/>
      <c r="W69" s="1"/>
      <c r="X69" s="30">
        <f>X15+X30</f>
        <v>9</v>
      </c>
      <c r="Z69" s="30">
        <f>Z15+Z30</f>
        <v>19177</v>
      </c>
    </row>
    <row r="70" spans="1:26" x14ac:dyDescent="0.2">
      <c r="A70" s="1" t="s">
        <v>31</v>
      </c>
      <c r="B70" s="77">
        <f>SUMIF(A$5:A$63,$A70,B$5:B$63)</f>
        <v>1564</v>
      </c>
      <c r="C70" s="77">
        <f>SUMIF(A$5:A$63,$A70,C$5:C$63)</f>
        <v>0</v>
      </c>
      <c r="D70" s="77">
        <f>SUMIF(A$5:A$63,$A70,D$5:D$63)</f>
        <v>0</v>
      </c>
      <c r="E70" s="77">
        <f>SUMIF(A$5:A$63,$A70,E$5:E$63)</f>
        <v>188</v>
      </c>
      <c r="F70" s="30">
        <f t="shared" si="4"/>
        <v>1752</v>
      </c>
      <c r="G70" s="89">
        <f>H70/F70</f>
        <v>1712.0490867579908</v>
      </c>
      <c r="H70" s="23">
        <f t="shared" si="5"/>
        <v>2999510</v>
      </c>
      <c r="I70" s="12"/>
      <c r="J70" s="1" t="s">
        <v>31</v>
      </c>
      <c r="K70" s="77">
        <f>SUMIF(J$5:J$63,$A70,K$5:K$63)</f>
        <v>21</v>
      </c>
      <c r="L70" s="77">
        <f>SUMIF(J$5:J$63,$A70,L$5:L$63)</f>
        <v>0</v>
      </c>
      <c r="M70" s="77">
        <f>SUMIF(J$5:J$63,$A70,M$5:M$63)</f>
        <v>0</v>
      </c>
      <c r="N70" s="77">
        <f>SUMIF(J$5:J$63,$A70,N$5:N$63)</f>
        <v>0</v>
      </c>
      <c r="O70" s="30">
        <f t="shared" si="6"/>
        <v>21</v>
      </c>
      <c r="P70" s="92">
        <f>Q70/O70</f>
        <v>2000</v>
      </c>
      <c r="Q70" s="23">
        <f t="shared" si="7"/>
        <v>42000</v>
      </c>
      <c r="R70" s="12"/>
      <c r="S70" s="1" t="s">
        <v>31</v>
      </c>
      <c r="T70" s="1"/>
      <c r="U70" s="1"/>
      <c r="V70" s="1"/>
      <c r="W70" s="1"/>
      <c r="X70" s="30">
        <f>X16+X31</f>
        <v>3</v>
      </c>
      <c r="Z70" s="30">
        <f>Z16+Z31</f>
        <v>6327</v>
      </c>
    </row>
    <row r="71" spans="1:26" x14ac:dyDescent="0.2">
      <c r="A71" s="76" t="s">
        <v>125</v>
      </c>
      <c r="B71" s="77">
        <f>SUMIF(A$5:A$63,$A71,B$5:B$63)</f>
        <v>0</v>
      </c>
      <c r="C71" s="77">
        <f>SUMIF(A$5:A$63,$A71,C$5:C$63)</f>
        <v>0</v>
      </c>
      <c r="D71" s="77">
        <f>SUMIF(A$5:A$63,$A71,D$5:D$63)</f>
        <v>0</v>
      </c>
      <c r="E71" s="77">
        <f>SUMIF(A$5:A$63,$A71,E$5:E$63)</f>
        <v>384</v>
      </c>
      <c r="F71" s="30">
        <f t="shared" si="4"/>
        <v>384</v>
      </c>
      <c r="G71" s="89">
        <f>H71/F71</f>
        <v>0</v>
      </c>
      <c r="H71" s="23">
        <f t="shared" si="5"/>
        <v>0</v>
      </c>
      <c r="I71" s="12"/>
      <c r="J71" s="76" t="s">
        <v>125</v>
      </c>
      <c r="K71" s="77">
        <f>SUMIF(J$5:J$63,$A71,K$5:K$63)</f>
        <v>0</v>
      </c>
      <c r="L71" s="77">
        <f>SUMIF(J$5:J$63,$A71,L$5:L$63)</f>
        <v>0</v>
      </c>
      <c r="M71" s="77">
        <f>SUMIF(J$5:J$63,$A71,M$5:M$63)</f>
        <v>0</v>
      </c>
      <c r="N71" s="77">
        <f>SUMIF(J$5:J$63,$A71,N$5:N$63)</f>
        <v>0</v>
      </c>
      <c r="O71" s="30">
        <f t="shared" si="6"/>
        <v>0</v>
      </c>
      <c r="P71" s="92" t="e">
        <f>Q71/O71</f>
        <v>#DIV/0!</v>
      </c>
      <c r="Q71" s="23">
        <f t="shared" si="7"/>
        <v>0</v>
      </c>
      <c r="R71" s="12"/>
      <c r="S71" s="77" t="s">
        <v>32</v>
      </c>
      <c r="T71" s="1"/>
      <c r="U71" s="1"/>
      <c r="V71" s="1"/>
      <c r="W71" s="1"/>
      <c r="X71" s="30">
        <f>X17+X32</f>
        <v>9</v>
      </c>
      <c r="Y71" s="30"/>
      <c r="Z71" s="30">
        <f>Z17+Z32</f>
        <v>71964</v>
      </c>
    </row>
    <row r="72" spans="1:26" x14ac:dyDescent="0.2">
      <c r="A72" s="2" t="s">
        <v>5</v>
      </c>
      <c r="B72" s="16">
        <f>SUM(B67:B71)</f>
        <v>8937</v>
      </c>
      <c r="C72" s="16">
        <f>SUM(C67:C71)</f>
        <v>0</v>
      </c>
      <c r="D72" s="16">
        <f>SUM(D67:D71)</f>
        <v>0</v>
      </c>
      <c r="E72" s="16">
        <f>SUM(E67:E71)</f>
        <v>2318</v>
      </c>
      <c r="F72" s="31">
        <f t="shared" si="4"/>
        <v>11255</v>
      </c>
      <c r="G72" s="86"/>
      <c r="H72" s="16">
        <f>SUM(H67:H71)</f>
        <v>8306555</v>
      </c>
      <c r="I72" s="12"/>
      <c r="J72" s="2" t="s">
        <v>5</v>
      </c>
      <c r="K72" s="16">
        <f>SUM(K67:K71)</f>
        <v>76</v>
      </c>
      <c r="L72" s="16">
        <f>SUM(L67:L71)</f>
        <v>0</v>
      </c>
      <c r="M72" s="16">
        <f>SUM(M67:M71)</f>
        <v>0</v>
      </c>
      <c r="N72" s="16">
        <f>SUM(N67:N71)</f>
        <v>0</v>
      </c>
      <c r="O72" s="31">
        <f t="shared" si="6"/>
        <v>76</v>
      </c>
      <c r="P72" s="90"/>
      <c r="Q72" s="16">
        <f>SUM(Q67:Q71)</f>
        <v>65450</v>
      </c>
      <c r="R72" s="12"/>
      <c r="S72" s="2" t="s">
        <v>5</v>
      </c>
      <c r="T72" s="16"/>
      <c r="U72" s="16"/>
      <c r="V72" s="16"/>
      <c r="W72" s="16"/>
      <c r="X72" s="75">
        <f>SUM(X67:X71)</f>
        <v>29</v>
      </c>
      <c r="Y72" s="75"/>
      <c r="Z72" s="75">
        <f>SUM(Z67:Z71)</f>
        <v>104146</v>
      </c>
    </row>
    <row r="73" spans="1:26" x14ac:dyDescent="0.2">
      <c r="A73" s="24" t="s">
        <v>61</v>
      </c>
      <c r="B73" s="25"/>
      <c r="C73" s="25"/>
      <c r="D73" s="25"/>
      <c r="E73" s="25"/>
      <c r="F73" s="35">
        <f>SUM(F67:F71)</f>
        <v>11255</v>
      </c>
      <c r="G73" s="82"/>
      <c r="H73" s="552">
        <f>SUMIF(A$5:A$63,$A72,H$5:H$63)</f>
        <v>8306555</v>
      </c>
      <c r="I73" s="27"/>
      <c r="J73" s="25"/>
      <c r="K73" s="25"/>
      <c r="L73" s="25"/>
      <c r="M73" s="516" t="s">
        <v>715</v>
      </c>
      <c r="N73" s="25"/>
      <c r="O73" s="35">
        <f>SUM(O67:O71)</f>
        <v>76</v>
      </c>
      <c r="P73" s="25"/>
      <c r="Q73" s="552">
        <f>SUMIF(J$5:J$63,$A72,Q$5:Q$63)</f>
        <v>65450</v>
      </c>
      <c r="R73" s="27"/>
    </row>
    <row r="75" spans="1:26" ht="13.5" thickBot="1" x14ac:dyDescent="0.25"/>
    <row r="76" spans="1:26" ht="13.5" thickBot="1" x14ac:dyDescent="0.25">
      <c r="A76" s="565" t="s">
        <v>861</v>
      </c>
      <c r="B76" s="566"/>
      <c r="C76" s="566"/>
      <c r="D76" s="566"/>
      <c r="E76" s="566"/>
      <c r="F76" s="567"/>
      <c r="G76" s="568"/>
      <c r="H76" s="569">
        <f>H72+Q72+Z72</f>
        <v>8476151</v>
      </c>
    </row>
  </sheetData>
  <phoneticPr fontId="12" type="noConversion"/>
  <pageMargins left="0.74803149606299213" right="0.74803149606299213" top="0.70866141732283472" bottom="0.62992125984251968" header="0.51181102362204722" footer="0.51181102362204722"/>
  <pageSetup paperSize="9" scale="6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8"/>
  <sheetViews>
    <sheetView zoomScale="90" zoomScaleNormal="90" workbookViewId="0">
      <pane xSplit="3" topLeftCell="D1" activePane="topRight" state="frozen"/>
      <selection pane="topRight" activeCell="Y28" sqref="Y28"/>
    </sheetView>
  </sheetViews>
  <sheetFormatPr baseColWidth="10" defaultColWidth="11.5703125" defaultRowHeight="12.75" x14ac:dyDescent="0.2"/>
  <cols>
    <col min="1" max="1" width="34.7109375" customWidth="1"/>
    <col min="2" max="3" width="12" customWidth="1"/>
    <col min="4" max="4" width="6" customWidth="1"/>
    <col min="5" max="6" width="5.28515625" customWidth="1"/>
    <col min="7" max="7" width="5.42578125" customWidth="1"/>
    <col min="8" max="8" width="5.28515625" customWidth="1"/>
    <col min="9" max="9" width="7.42578125" customWidth="1"/>
    <col min="10" max="10" width="10.140625" customWidth="1"/>
    <col min="11" max="11" width="5.42578125" customWidth="1"/>
    <col min="12" max="12" width="5.28515625" customWidth="1"/>
    <col min="13" max="15" width="5.42578125" customWidth="1"/>
    <col min="16" max="16" width="7.42578125" customWidth="1"/>
    <col min="17" max="17" width="10.140625" customWidth="1"/>
    <col min="18" max="19" width="5.5703125" customWidth="1"/>
    <col min="20" max="20" width="5.140625" customWidth="1"/>
    <col min="21" max="21" width="5.28515625" customWidth="1"/>
    <col min="22" max="22" width="5.5703125" customWidth="1"/>
    <col min="23" max="23" width="7.42578125" customWidth="1"/>
    <col min="24" max="24" width="9.85546875" style="64" customWidth="1"/>
    <col min="25" max="25" width="5.28515625" customWidth="1"/>
    <col min="26" max="27" width="5.42578125" customWidth="1"/>
    <col min="28" max="28" width="5.140625" customWidth="1"/>
    <col min="29" max="29" width="5.28515625" customWidth="1"/>
    <col min="30" max="30" width="7.42578125" customWidth="1"/>
    <col min="31" max="31" width="10.28515625" customWidth="1"/>
    <col min="32" max="32" width="5.7109375" customWidth="1"/>
    <col min="33" max="35" width="5.42578125" customWidth="1"/>
    <col min="36" max="36" width="5.5703125" customWidth="1"/>
    <col min="37" max="37" width="7.42578125" customWidth="1"/>
    <col min="38" max="38" width="9.7109375" customWidth="1"/>
    <col min="39" max="42" width="5.42578125" customWidth="1"/>
    <col min="43" max="43" width="5.5703125" customWidth="1"/>
    <col min="44" max="44" width="7.85546875" customWidth="1"/>
    <col min="45" max="45" width="9.7109375" customWidth="1"/>
    <col min="46" max="46" width="5.140625" customWidth="1"/>
    <col min="47" max="49" width="5.28515625" customWidth="1"/>
    <col min="50" max="50" width="5.42578125" customWidth="1"/>
    <col min="51" max="51" width="7.5703125" customWidth="1"/>
    <col min="52" max="52" width="9.85546875" customWidth="1"/>
    <col min="53" max="54" width="5.28515625" customWidth="1"/>
    <col min="55" max="55" width="5.42578125" customWidth="1"/>
    <col min="56" max="56" width="5.28515625" customWidth="1"/>
    <col min="57" max="57" width="6" customWidth="1"/>
    <col min="58" max="58" width="7.7109375" customWidth="1"/>
    <col min="59" max="59" width="10" customWidth="1"/>
    <col min="60" max="60" width="6.7109375" customWidth="1"/>
    <col min="61" max="61" width="6.28515625" customWidth="1"/>
    <col min="62" max="62" width="5.7109375" customWidth="1"/>
    <col min="63" max="63" width="5.5703125" customWidth="1"/>
    <col min="64" max="64" width="9.7109375" customWidth="1"/>
    <col min="65" max="65" width="10.42578125" customWidth="1"/>
  </cols>
  <sheetData>
    <row r="1" spans="1:65" ht="16.5" thickBot="1" x14ac:dyDescent="0.3">
      <c r="A1" s="68" t="s">
        <v>898</v>
      </c>
      <c r="B1" s="68"/>
      <c r="C1" s="68"/>
    </row>
    <row r="2" spans="1:65" ht="13.5" thickTop="1" x14ac:dyDescent="0.2">
      <c r="A2" s="482" t="s">
        <v>712</v>
      </c>
      <c r="B2" s="482" t="s">
        <v>6</v>
      </c>
      <c r="C2" s="482" t="s">
        <v>6</v>
      </c>
      <c r="D2" s="28" t="s">
        <v>740</v>
      </c>
      <c r="E2" s="38"/>
      <c r="F2" s="36"/>
      <c r="G2" s="36"/>
      <c r="H2" s="39"/>
      <c r="I2" s="36"/>
      <c r="J2" s="44"/>
      <c r="K2" s="28" t="s">
        <v>790</v>
      </c>
      <c r="L2" s="38"/>
      <c r="M2" s="36"/>
      <c r="N2" s="36"/>
      <c r="O2" s="39"/>
      <c r="P2" s="36"/>
      <c r="Q2" s="44"/>
      <c r="R2" s="28" t="s">
        <v>20</v>
      </c>
      <c r="S2" s="38"/>
      <c r="T2" s="36"/>
      <c r="U2" s="36"/>
      <c r="V2" s="39"/>
      <c r="W2" s="36"/>
      <c r="X2" s="65"/>
      <c r="Y2" s="28" t="s">
        <v>2</v>
      </c>
      <c r="Z2" s="38"/>
      <c r="AA2" s="36"/>
      <c r="AB2" s="36"/>
      <c r="AC2" s="39"/>
      <c r="AD2" s="36"/>
      <c r="AE2" s="44"/>
      <c r="AF2" s="28" t="s">
        <v>817</v>
      </c>
      <c r="AG2" s="38"/>
      <c r="AH2" s="36"/>
      <c r="AI2" s="36"/>
      <c r="AJ2" s="39"/>
      <c r="AK2" s="42"/>
      <c r="AL2" s="44"/>
      <c r="AM2" s="28" t="s">
        <v>150</v>
      </c>
      <c r="AN2" s="38"/>
      <c r="AO2" s="36"/>
      <c r="AP2" s="36"/>
      <c r="AQ2" s="39"/>
      <c r="AR2" s="36"/>
      <c r="AS2" s="44"/>
      <c r="AT2" s="408" t="s">
        <v>654</v>
      </c>
      <c r="AU2" s="38"/>
      <c r="AV2" s="36"/>
      <c r="AW2" s="36"/>
      <c r="AX2" s="39"/>
      <c r="AY2" s="42"/>
      <c r="AZ2" s="44"/>
      <c r="BA2" s="28" t="s">
        <v>4</v>
      </c>
      <c r="BB2" s="38"/>
      <c r="BC2" s="36"/>
      <c r="BD2" s="36"/>
      <c r="BE2" s="39"/>
      <c r="BF2" s="42"/>
      <c r="BG2" s="44"/>
      <c r="BH2" s="46" t="s">
        <v>81</v>
      </c>
      <c r="BI2" s="47"/>
      <c r="BJ2" s="48"/>
      <c r="BK2" s="48"/>
      <c r="BL2" s="56"/>
      <c r="BM2" s="49"/>
    </row>
    <row r="3" spans="1:65" ht="25.5" customHeight="1" x14ac:dyDescent="0.2">
      <c r="A3" s="10" t="s">
        <v>35</v>
      </c>
      <c r="B3" s="10" t="s">
        <v>7</v>
      </c>
      <c r="C3" s="564" t="s">
        <v>860</v>
      </c>
      <c r="D3" s="37" t="s">
        <v>75</v>
      </c>
      <c r="E3" s="37" t="s">
        <v>76</v>
      </c>
      <c r="F3" s="37" t="s">
        <v>77</v>
      </c>
      <c r="G3" s="37" t="s">
        <v>78</v>
      </c>
      <c r="H3" s="40" t="s">
        <v>79</v>
      </c>
      <c r="I3" s="43" t="s">
        <v>66</v>
      </c>
      <c r="J3" s="45" t="s">
        <v>80</v>
      </c>
      <c r="K3" s="37" t="s">
        <v>75</v>
      </c>
      <c r="L3" s="37" t="s">
        <v>76</v>
      </c>
      <c r="M3" s="37" t="s">
        <v>77</v>
      </c>
      <c r="N3" s="37" t="s">
        <v>78</v>
      </c>
      <c r="O3" s="40" t="s">
        <v>79</v>
      </c>
      <c r="P3" s="43" t="s">
        <v>66</v>
      </c>
      <c r="Q3" s="45" t="s">
        <v>80</v>
      </c>
      <c r="R3" s="37" t="s">
        <v>75</v>
      </c>
      <c r="S3" s="37" t="s">
        <v>76</v>
      </c>
      <c r="T3" s="37" t="s">
        <v>77</v>
      </c>
      <c r="U3" s="37" t="s">
        <v>78</v>
      </c>
      <c r="V3" s="40" t="s">
        <v>79</v>
      </c>
      <c r="W3" s="43" t="s">
        <v>66</v>
      </c>
      <c r="X3" s="66" t="s">
        <v>80</v>
      </c>
      <c r="Y3" s="37" t="s">
        <v>75</v>
      </c>
      <c r="Z3" s="37" t="s">
        <v>76</v>
      </c>
      <c r="AA3" s="37" t="s">
        <v>77</v>
      </c>
      <c r="AB3" s="37" t="s">
        <v>78</v>
      </c>
      <c r="AC3" s="40" t="s">
        <v>79</v>
      </c>
      <c r="AD3" s="43" t="s">
        <v>66</v>
      </c>
      <c r="AE3" s="45" t="s">
        <v>80</v>
      </c>
      <c r="AF3" s="80" t="s">
        <v>75</v>
      </c>
      <c r="AG3" s="41" t="s">
        <v>76</v>
      </c>
      <c r="AH3" s="41" t="s">
        <v>77</v>
      </c>
      <c r="AI3" s="41" t="s">
        <v>78</v>
      </c>
      <c r="AJ3" s="40" t="s">
        <v>79</v>
      </c>
      <c r="AK3" s="43" t="s">
        <v>66</v>
      </c>
      <c r="AL3" s="45" t="s">
        <v>80</v>
      </c>
      <c r="AM3" s="37" t="s">
        <v>75</v>
      </c>
      <c r="AN3" s="37" t="s">
        <v>76</v>
      </c>
      <c r="AO3" s="37" t="s">
        <v>77</v>
      </c>
      <c r="AP3" s="37" t="s">
        <v>78</v>
      </c>
      <c r="AQ3" s="40" t="s">
        <v>79</v>
      </c>
      <c r="AR3" s="43" t="s">
        <v>66</v>
      </c>
      <c r="AS3" s="45" t="s">
        <v>80</v>
      </c>
      <c r="AT3" s="78" t="s">
        <v>75</v>
      </c>
      <c r="AU3" s="41" t="s">
        <v>76</v>
      </c>
      <c r="AV3" s="41" t="s">
        <v>77</v>
      </c>
      <c r="AW3" s="41" t="s">
        <v>78</v>
      </c>
      <c r="AX3" s="40" t="s">
        <v>79</v>
      </c>
      <c r="AY3" s="43" t="s">
        <v>66</v>
      </c>
      <c r="AZ3" s="45" t="s">
        <v>80</v>
      </c>
      <c r="BA3" s="37" t="s">
        <v>75</v>
      </c>
      <c r="BB3" s="37" t="s">
        <v>76</v>
      </c>
      <c r="BC3" s="37" t="s">
        <v>77</v>
      </c>
      <c r="BD3" s="37" t="s">
        <v>78</v>
      </c>
      <c r="BE3" s="40" t="s">
        <v>79</v>
      </c>
      <c r="BF3" s="43" t="s">
        <v>66</v>
      </c>
      <c r="BG3" s="45" t="s">
        <v>80</v>
      </c>
      <c r="BH3" s="50" t="s">
        <v>75</v>
      </c>
      <c r="BI3" s="41" t="s">
        <v>76</v>
      </c>
      <c r="BJ3" s="41" t="s">
        <v>77</v>
      </c>
      <c r="BK3" s="41" t="s">
        <v>78</v>
      </c>
      <c r="BL3" s="40" t="s">
        <v>79</v>
      </c>
      <c r="BM3" s="51" t="s">
        <v>80</v>
      </c>
    </row>
    <row r="4" spans="1:65" s="8" customFormat="1" ht="38.25" customHeight="1" x14ac:dyDescent="0.2">
      <c r="A4" s="205" t="s">
        <v>474</v>
      </c>
      <c r="B4" s="205"/>
      <c r="C4" s="205"/>
      <c r="D4" s="206"/>
      <c r="E4" s="57"/>
      <c r="F4" s="57"/>
      <c r="G4" s="57"/>
      <c r="H4" s="58"/>
      <c r="I4" s="59"/>
      <c r="J4" s="60"/>
      <c r="K4" s="57"/>
      <c r="L4" s="57"/>
      <c r="M4" s="57"/>
      <c r="N4" s="57"/>
      <c r="O4" s="58"/>
      <c r="P4" s="59"/>
      <c r="Q4" s="60"/>
      <c r="R4" s="29"/>
      <c r="S4" s="57"/>
      <c r="T4" s="57"/>
      <c r="U4" s="57"/>
      <c r="V4" s="58"/>
      <c r="W4" s="59"/>
      <c r="X4" s="67"/>
      <c r="Y4" s="57"/>
      <c r="Z4" s="57"/>
      <c r="AA4" s="57"/>
      <c r="AB4" s="57"/>
      <c r="AC4" s="58"/>
      <c r="AD4" s="59"/>
      <c r="AE4" s="60"/>
      <c r="AF4" s="29"/>
      <c r="AG4" s="62"/>
      <c r="AH4" s="62"/>
      <c r="AI4" s="62"/>
      <c r="AJ4" s="58"/>
      <c r="AK4" s="59"/>
      <c r="AL4" s="60"/>
      <c r="AM4" s="29"/>
      <c r="AN4" s="57"/>
      <c r="AO4" s="57"/>
      <c r="AP4" s="57"/>
      <c r="AQ4" s="58"/>
      <c r="AR4" s="59"/>
      <c r="AS4" s="60"/>
      <c r="AT4" s="79"/>
      <c r="AU4" s="62"/>
      <c r="AV4" s="62"/>
      <c r="AW4" s="62"/>
      <c r="AX4" s="58"/>
      <c r="AY4" s="59"/>
      <c r="AZ4" s="60"/>
      <c r="BA4" s="29"/>
      <c r="BB4" s="57"/>
      <c r="BC4" s="57"/>
      <c r="BD4" s="57"/>
      <c r="BE4" s="58"/>
      <c r="BF4" s="59"/>
      <c r="BG4" s="53"/>
      <c r="BH4" s="61"/>
      <c r="BI4" s="62"/>
      <c r="BJ4" s="62"/>
      <c r="BK4" s="62"/>
      <c r="BL4" s="58"/>
      <c r="BM4" s="63"/>
    </row>
    <row r="5" spans="1:65" s="77" customFormat="1" x14ac:dyDescent="0.2">
      <c r="A5" s="77" t="s">
        <v>53</v>
      </c>
      <c r="B5" s="77">
        <f t="shared" ref="B5:B25" si="0">BL5</f>
        <v>0</v>
      </c>
      <c r="C5" s="76">
        <f t="shared" ref="C5:C25" si="1">BM5</f>
        <v>0</v>
      </c>
      <c r="D5" s="206"/>
      <c r="E5" s="69"/>
      <c r="F5" s="69"/>
      <c r="G5" s="69"/>
      <c r="H5" s="207"/>
      <c r="I5" s="69"/>
      <c r="J5" s="208"/>
      <c r="K5" s="206"/>
      <c r="L5" s="69"/>
      <c r="M5" s="69"/>
      <c r="N5" s="69"/>
      <c r="O5" s="207">
        <f>SUM(K5:N5)</f>
        <v>0</v>
      </c>
      <c r="P5" s="69"/>
      <c r="Q5" s="208">
        <f>O5*P5</f>
        <v>0</v>
      </c>
      <c r="R5" s="29"/>
      <c r="S5" s="69"/>
      <c r="T5" s="69"/>
      <c r="U5" s="69"/>
      <c r="V5" s="207">
        <f>SUM(R5:U5)</f>
        <v>0</v>
      </c>
      <c r="W5" s="69">
        <v>350</v>
      </c>
      <c r="X5" s="209">
        <f>V5*W5</f>
        <v>0</v>
      </c>
      <c r="Y5" s="206"/>
      <c r="Z5" s="69"/>
      <c r="AB5" s="69"/>
      <c r="AC5" s="207">
        <f>SUM(Y5:AB5)</f>
        <v>0</v>
      </c>
      <c r="AD5" s="69"/>
      <c r="AE5" s="208">
        <f>AC5*AD5</f>
        <v>0</v>
      </c>
      <c r="AF5" s="206"/>
      <c r="AG5" s="69"/>
      <c r="AH5" s="69"/>
      <c r="AI5" s="69"/>
      <c r="AJ5" s="207">
        <f>SUM(AF5:AI5)</f>
        <v>0</v>
      </c>
      <c r="AK5" s="98">
        <v>228</v>
      </c>
      <c r="AL5" s="208">
        <f>AJ5*AK5</f>
        <v>0</v>
      </c>
      <c r="AM5" s="206"/>
      <c r="AN5" s="69"/>
      <c r="AO5" s="69"/>
      <c r="AP5" s="69"/>
      <c r="AQ5" s="207">
        <f>SUM(AM5:AP5)</f>
        <v>0</v>
      </c>
      <c r="AR5" s="69"/>
      <c r="AS5" s="208">
        <f>AQ5*AR5</f>
        <v>0</v>
      </c>
      <c r="AT5" s="210"/>
      <c r="AU5" s="69"/>
      <c r="AV5" s="69"/>
      <c r="AW5" s="69"/>
      <c r="AX5" s="207">
        <f>SUM(AT5:AW5)</f>
        <v>0</v>
      </c>
      <c r="AY5" s="98"/>
      <c r="AZ5" s="208">
        <f>AX5*AY5</f>
        <v>0</v>
      </c>
      <c r="BA5" s="69"/>
      <c r="BB5" s="69"/>
      <c r="BC5" s="69"/>
      <c r="BD5" s="69"/>
      <c r="BE5" s="207">
        <f>SUM(BA5:BD5)</f>
        <v>0</v>
      </c>
      <c r="BF5" s="98"/>
      <c r="BG5" s="211">
        <f>BE5*BF5</f>
        <v>0</v>
      </c>
      <c r="BH5" s="212">
        <f t="shared" ref="BH5:BH25" si="2">D5+K5+R5+Y5+AT5+AF5+AM5+BA5</f>
        <v>0</v>
      </c>
      <c r="BI5" s="69">
        <f t="shared" ref="BI5:BI25" si="3">E5+L5+S5+Z5+AU5+AG5+AN5+BB5</f>
        <v>0</v>
      </c>
      <c r="BJ5" s="69">
        <f t="shared" ref="BJ5:BJ25" si="4">F5+M5+T5+AA5+AV5+AH5+AO5+BC5</f>
        <v>0</v>
      </c>
      <c r="BK5" s="69">
        <f t="shared" ref="BK5:BK25" si="5">G5+N5+U5+AB5+AW5+AI5+AP5+BD5</f>
        <v>0</v>
      </c>
      <c r="BL5" s="207">
        <f>SUM(BH5:BK5)</f>
        <v>0</v>
      </c>
      <c r="BM5" s="213">
        <f t="shared" ref="BM5:BM25" si="6">J5+Q5+X5+AE5+AZ5+AL5+AS5+BG5</f>
        <v>0</v>
      </c>
    </row>
    <row r="6" spans="1:65" s="77" customFormat="1" x14ac:dyDescent="0.2">
      <c r="A6" s="77" t="s">
        <v>52</v>
      </c>
      <c r="B6" s="77">
        <f t="shared" si="0"/>
        <v>67</v>
      </c>
      <c r="C6" s="76">
        <f t="shared" si="1"/>
        <v>15276</v>
      </c>
      <c r="D6" s="206"/>
      <c r="E6" s="69"/>
      <c r="F6" s="69"/>
      <c r="G6" s="69"/>
      <c r="H6" s="207"/>
      <c r="I6" s="69"/>
      <c r="J6" s="208"/>
      <c r="K6" s="206"/>
      <c r="L6" s="69"/>
      <c r="M6" s="69"/>
      <c r="N6" s="69"/>
      <c r="O6" s="207">
        <f t="shared" ref="O6:O25" si="7">SUM(K6:N6)</f>
        <v>0</v>
      </c>
      <c r="P6" s="69"/>
      <c r="Q6" s="208">
        <f t="shared" ref="Q6:Q24" si="8">O6*P6</f>
        <v>0</v>
      </c>
      <c r="R6" s="29"/>
      <c r="S6" s="69"/>
      <c r="T6" s="69"/>
      <c r="U6" s="69"/>
      <c r="V6" s="207">
        <f t="shared" ref="V6:V25" si="9">SUM(R6:U6)</f>
        <v>0</v>
      </c>
      <c r="W6" s="69">
        <v>390</v>
      </c>
      <c r="X6" s="209">
        <f t="shared" ref="X6:X24" si="10">V6*W6</f>
        <v>0</v>
      </c>
      <c r="Y6" s="206"/>
      <c r="Z6" s="69"/>
      <c r="AA6" s="69"/>
      <c r="AB6" s="69"/>
      <c r="AC6" s="207">
        <f t="shared" ref="AC6:AC25" si="11">SUM(Y6:AB6)</f>
        <v>0</v>
      </c>
      <c r="AD6" s="69"/>
      <c r="AE6" s="208">
        <f t="shared" ref="AE6:AE24" si="12">AC6*AD6</f>
        <v>0</v>
      </c>
      <c r="AF6" s="206">
        <v>67</v>
      </c>
      <c r="AG6" s="69"/>
      <c r="AH6" s="69"/>
      <c r="AI6" s="69"/>
      <c r="AJ6" s="207">
        <f t="shared" ref="AJ6:AJ25" si="13">SUM(AF6:AI6)</f>
        <v>67</v>
      </c>
      <c r="AK6" s="98">
        <v>228</v>
      </c>
      <c r="AL6" s="208">
        <f t="shared" ref="AL6:AL24" si="14">AJ6*AK6</f>
        <v>15276</v>
      </c>
      <c r="AM6" s="206"/>
      <c r="AN6" s="69"/>
      <c r="AO6" s="69"/>
      <c r="AP6" s="69"/>
      <c r="AQ6" s="207">
        <f t="shared" ref="AQ6:AQ25" si="15">SUM(AM6:AP6)</f>
        <v>0</v>
      </c>
      <c r="AR6" s="69"/>
      <c r="AS6" s="208">
        <f t="shared" ref="AS6:AS24" si="16">AQ6*AR6</f>
        <v>0</v>
      </c>
      <c r="AT6" s="210"/>
      <c r="AU6" s="69"/>
      <c r="AV6" s="69"/>
      <c r="AW6" s="69"/>
      <c r="AX6" s="207">
        <f t="shared" ref="AX6:AX24" si="17">SUM(AT6:AW6)</f>
        <v>0</v>
      </c>
      <c r="AY6" s="98"/>
      <c r="AZ6" s="208">
        <f t="shared" ref="AZ6:AZ24" si="18">AX6*AY6</f>
        <v>0</v>
      </c>
      <c r="BA6" s="69"/>
      <c r="BB6" s="69"/>
      <c r="BC6" s="69"/>
      <c r="BD6" s="69"/>
      <c r="BE6" s="207">
        <f t="shared" ref="BE6:BE25" si="19">SUM(BA6:BD6)</f>
        <v>0</v>
      </c>
      <c r="BF6" s="98"/>
      <c r="BG6" s="211">
        <f t="shared" ref="BG6:BG24" si="20">BE6*BF6</f>
        <v>0</v>
      </c>
      <c r="BH6" s="212">
        <f t="shared" si="2"/>
        <v>67</v>
      </c>
      <c r="BI6" s="69">
        <f t="shared" si="3"/>
        <v>0</v>
      </c>
      <c r="BJ6" s="69">
        <f t="shared" si="4"/>
        <v>0</v>
      </c>
      <c r="BK6" s="69">
        <f t="shared" si="5"/>
        <v>0</v>
      </c>
      <c r="BL6" s="207">
        <f t="shared" ref="BL6:BL25" si="21">SUM(BH6:BK6)</f>
        <v>67</v>
      </c>
      <c r="BM6" s="213">
        <f t="shared" si="6"/>
        <v>15276</v>
      </c>
    </row>
    <row r="7" spans="1:65" s="77" customFormat="1" x14ac:dyDescent="0.2">
      <c r="A7" s="77" t="s">
        <v>36</v>
      </c>
      <c r="B7" s="77">
        <f t="shared" si="0"/>
        <v>9</v>
      </c>
      <c r="C7" s="76">
        <f t="shared" si="1"/>
        <v>3150</v>
      </c>
      <c r="D7" s="206"/>
      <c r="E7" s="69"/>
      <c r="F7" s="69"/>
      <c r="G7" s="69"/>
      <c r="H7" s="207"/>
      <c r="I7" s="69"/>
      <c r="J7" s="208"/>
      <c r="K7" s="206"/>
      <c r="L7" s="69"/>
      <c r="M7" s="69"/>
      <c r="N7" s="69"/>
      <c r="O7" s="207">
        <f t="shared" si="7"/>
        <v>0</v>
      </c>
      <c r="P7" s="69"/>
      <c r="Q7" s="208">
        <f t="shared" si="8"/>
        <v>0</v>
      </c>
      <c r="R7" s="29">
        <v>9</v>
      </c>
      <c r="S7" s="69"/>
      <c r="T7" s="69"/>
      <c r="U7" s="69"/>
      <c r="V7" s="207">
        <f t="shared" si="9"/>
        <v>9</v>
      </c>
      <c r="W7" s="69">
        <v>350</v>
      </c>
      <c r="X7" s="209">
        <f t="shared" si="10"/>
        <v>3150</v>
      </c>
      <c r="Y7" s="206"/>
      <c r="Z7" s="69"/>
      <c r="AA7" s="69"/>
      <c r="AB7" s="69"/>
      <c r="AC7" s="207">
        <f t="shared" si="11"/>
        <v>0</v>
      </c>
      <c r="AD7" s="69"/>
      <c r="AE7" s="208">
        <f t="shared" si="12"/>
        <v>0</v>
      </c>
      <c r="AF7" s="206"/>
      <c r="AG7" s="69"/>
      <c r="AH7" s="69"/>
      <c r="AI7" s="69"/>
      <c r="AJ7" s="207">
        <f t="shared" si="13"/>
        <v>0</v>
      </c>
      <c r="AK7" s="98"/>
      <c r="AL7" s="208">
        <f t="shared" si="14"/>
        <v>0</v>
      </c>
      <c r="AM7" s="206"/>
      <c r="AN7" s="69"/>
      <c r="AO7" s="69"/>
      <c r="AP7" s="69"/>
      <c r="AQ7" s="207">
        <f t="shared" si="15"/>
        <v>0</v>
      </c>
      <c r="AR7" s="69"/>
      <c r="AS7" s="208">
        <f t="shared" si="16"/>
        <v>0</v>
      </c>
      <c r="AT7" s="210"/>
      <c r="AU7" s="69"/>
      <c r="AV7" s="69"/>
      <c r="AW7" s="69"/>
      <c r="AX7" s="207">
        <f t="shared" si="17"/>
        <v>0</v>
      </c>
      <c r="AY7" s="98"/>
      <c r="AZ7" s="208">
        <f t="shared" si="18"/>
        <v>0</v>
      </c>
      <c r="BA7" s="69"/>
      <c r="BB7" s="69"/>
      <c r="BC7" s="69"/>
      <c r="BD7" s="69"/>
      <c r="BE7" s="207">
        <f t="shared" si="19"/>
        <v>0</v>
      </c>
      <c r="BF7" s="98"/>
      <c r="BG7" s="211">
        <f t="shared" si="20"/>
        <v>0</v>
      </c>
      <c r="BH7" s="212">
        <f t="shared" si="2"/>
        <v>9</v>
      </c>
      <c r="BI7" s="69">
        <f t="shared" si="3"/>
        <v>0</v>
      </c>
      <c r="BJ7" s="69">
        <f t="shared" si="4"/>
        <v>0</v>
      </c>
      <c r="BK7" s="69">
        <f t="shared" si="5"/>
        <v>0</v>
      </c>
      <c r="BL7" s="207">
        <f t="shared" si="21"/>
        <v>9</v>
      </c>
      <c r="BM7" s="213">
        <f t="shared" si="6"/>
        <v>3150</v>
      </c>
    </row>
    <row r="8" spans="1:65" s="77" customFormat="1" x14ac:dyDescent="0.2">
      <c r="A8" s="77" t="s">
        <v>37</v>
      </c>
      <c r="B8" s="77">
        <f t="shared" si="0"/>
        <v>9</v>
      </c>
      <c r="C8" s="76">
        <f t="shared" si="1"/>
        <v>3510</v>
      </c>
      <c r="D8" s="206"/>
      <c r="E8" s="69"/>
      <c r="F8" s="69"/>
      <c r="G8" s="69"/>
      <c r="H8" s="207"/>
      <c r="I8" s="69"/>
      <c r="J8" s="208"/>
      <c r="K8" s="206"/>
      <c r="L8" s="69"/>
      <c r="M8" s="69"/>
      <c r="N8" s="69"/>
      <c r="O8" s="207">
        <f t="shared" si="7"/>
        <v>0</v>
      </c>
      <c r="P8" s="69"/>
      <c r="Q8" s="208">
        <f t="shared" si="8"/>
        <v>0</v>
      </c>
      <c r="R8" s="29">
        <v>9</v>
      </c>
      <c r="S8" s="69"/>
      <c r="T8" s="69"/>
      <c r="U8" s="69"/>
      <c r="V8" s="207">
        <f t="shared" si="9"/>
        <v>9</v>
      </c>
      <c r="W8" s="69">
        <v>390</v>
      </c>
      <c r="X8" s="209">
        <f t="shared" si="10"/>
        <v>3510</v>
      </c>
      <c r="Y8" s="206"/>
      <c r="Z8" s="69"/>
      <c r="AA8" s="69"/>
      <c r="AB8" s="69"/>
      <c r="AC8" s="207">
        <f t="shared" si="11"/>
        <v>0</v>
      </c>
      <c r="AD8" s="69"/>
      <c r="AE8" s="208">
        <f t="shared" si="12"/>
        <v>0</v>
      </c>
      <c r="AF8" s="206"/>
      <c r="AG8" s="69"/>
      <c r="AH8" s="69"/>
      <c r="AI8" s="69"/>
      <c r="AJ8" s="207">
        <f t="shared" si="13"/>
        <v>0</v>
      </c>
      <c r="AK8" s="98"/>
      <c r="AL8" s="208">
        <f t="shared" si="14"/>
        <v>0</v>
      </c>
      <c r="AM8" s="206"/>
      <c r="AN8" s="69"/>
      <c r="AO8" s="69"/>
      <c r="AP8" s="69"/>
      <c r="AQ8" s="207">
        <f t="shared" si="15"/>
        <v>0</v>
      </c>
      <c r="AR8" s="69"/>
      <c r="AS8" s="208">
        <f t="shared" si="16"/>
        <v>0</v>
      </c>
      <c r="AT8" s="210"/>
      <c r="AU8" s="69"/>
      <c r="AV8" s="69"/>
      <c r="AW8" s="69"/>
      <c r="AX8" s="207">
        <f t="shared" si="17"/>
        <v>0</v>
      </c>
      <c r="AY8" s="98"/>
      <c r="AZ8" s="208">
        <f t="shared" si="18"/>
        <v>0</v>
      </c>
      <c r="BA8" s="69"/>
      <c r="BB8" s="69"/>
      <c r="BC8" s="69"/>
      <c r="BD8" s="69"/>
      <c r="BE8" s="207">
        <f t="shared" si="19"/>
        <v>0</v>
      </c>
      <c r="BF8" s="98"/>
      <c r="BG8" s="211">
        <f t="shared" si="20"/>
        <v>0</v>
      </c>
      <c r="BH8" s="212">
        <f t="shared" si="2"/>
        <v>9</v>
      </c>
      <c r="BI8" s="69">
        <f t="shared" si="3"/>
        <v>0</v>
      </c>
      <c r="BJ8" s="69">
        <f t="shared" si="4"/>
        <v>0</v>
      </c>
      <c r="BK8" s="69">
        <f t="shared" si="5"/>
        <v>0</v>
      </c>
      <c r="BL8" s="207">
        <f t="shared" si="21"/>
        <v>9</v>
      </c>
      <c r="BM8" s="213">
        <f t="shared" si="6"/>
        <v>3510</v>
      </c>
    </row>
    <row r="9" spans="1:65" s="77" customFormat="1" x14ac:dyDescent="0.2">
      <c r="A9" s="77" t="s">
        <v>38</v>
      </c>
      <c r="B9" s="77">
        <f t="shared" si="0"/>
        <v>0</v>
      </c>
      <c r="C9" s="76">
        <f t="shared" si="1"/>
        <v>0</v>
      </c>
      <c r="D9" s="206"/>
      <c r="E9" s="69"/>
      <c r="F9" s="69"/>
      <c r="G9" s="69"/>
      <c r="H9" s="207"/>
      <c r="I9" s="69"/>
      <c r="J9" s="208"/>
      <c r="K9" s="206"/>
      <c r="L9" s="69"/>
      <c r="M9" s="69"/>
      <c r="N9" s="69"/>
      <c r="O9" s="207">
        <f t="shared" si="7"/>
        <v>0</v>
      </c>
      <c r="P9" s="69"/>
      <c r="Q9" s="208">
        <f t="shared" si="8"/>
        <v>0</v>
      </c>
      <c r="R9" s="29"/>
      <c r="S9" s="69"/>
      <c r="T9" s="69"/>
      <c r="U9" s="69"/>
      <c r="V9" s="207">
        <f t="shared" si="9"/>
        <v>0</v>
      </c>
      <c r="W9" s="69">
        <v>350</v>
      </c>
      <c r="X9" s="209">
        <f t="shared" si="10"/>
        <v>0</v>
      </c>
      <c r="Y9" s="206"/>
      <c r="Z9" s="69"/>
      <c r="AA9" s="69"/>
      <c r="AB9" s="69"/>
      <c r="AC9" s="207">
        <f t="shared" si="11"/>
        <v>0</v>
      </c>
      <c r="AD9" s="69"/>
      <c r="AE9" s="208">
        <f t="shared" si="12"/>
        <v>0</v>
      </c>
      <c r="AF9" s="206"/>
      <c r="AG9" s="69"/>
      <c r="AH9" s="69"/>
      <c r="AI9" s="69"/>
      <c r="AJ9" s="207">
        <f t="shared" si="13"/>
        <v>0</v>
      </c>
      <c r="AK9" s="98"/>
      <c r="AL9" s="208">
        <f t="shared" si="14"/>
        <v>0</v>
      </c>
      <c r="AM9" s="206"/>
      <c r="AN9" s="69"/>
      <c r="AO9" s="69"/>
      <c r="AP9" s="69"/>
      <c r="AQ9" s="207">
        <f t="shared" si="15"/>
        <v>0</v>
      </c>
      <c r="AR9" s="69"/>
      <c r="AS9" s="208">
        <f t="shared" si="16"/>
        <v>0</v>
      </c>
      <c r="AT9" s="210"/>
      <c r="AU9" s="69"/>
      <c r="AV9" s="69"/>
      <c r="AW9" s="69"/>
      <c r="AX9" s="207">
        <f t="shared" si="17"/>
        <v>0</v>
      </c>
      <c r="AY9" s="98"/>
      <c r="AZ9" s="208">
        <f t="shared" si="18"/>
        <v>0</v>
      </c>
      <c r="BA9" s="69"/>
      <c r="BB9" s="69"/>
      <c r="BC9" s="69"/>
      <c r="BD9" s="69"/>
      <c r="BE9" s="207">
        <f t="shared" si="19"/>
        <v>0</v>
      </c>
      <c r="BF9" s="98"/>
      <c r="BG9" s="211">
        <f t="shared" si="20"/>
        <v>0</v>
      </c>
      <c r="BH9" s="212">
        <f t="shared" si="2"/>
        <v>0</v>
      </c>
      <c r="BI9" s="69">
        <f t="shared" si="3"/>
        <v>0</v>
      </c>
      <c r="BJ9" s="69">
        <f t="shared" si="4"/>
        <v>0</v>
      </c>
      <c r="BK9" s="69">
        <f t="shared" si="5"/>
        <v>0</v>
      </c>
      <c r="BL9" s="207">
        <f t="shared" si="21"/>
        <v>0</v>
      </c>
      <c r="BM9" s="213">
        <f t="shared" si="6"/>
        <v>0</v>
      </c>
    </row>
    <row r="10" spans="1:65" s="77" customFormat="1" x14ac:dyDescent="0.2">
      <c r="A10" s="77" t="s">
        <v>39</v>
      </c>
      <c r="B10" s="77">
        <f t="shared" si="0"/>
        <v>0</v>
      </c>
      <c r="C10" s="76">
        <f t="shared" si="1"/>
        <v>0</v>
      </c>
      <c r="D10" s="206"/>
      <c r="E10" s="69"/>
      <c r="F10" s="69"/>
      <c r="G10" s="69"/>
      <c r="H10" s="207"/>
      <c r="I10" s="69"/>
      <c r="J10" s="208"/>
      <c r="K10" s="206"/>
      <c r="L10" s="69"/>
      <c r="M10" s="69"/>
      <c r="N10" s="69"/>
      <c r="O10" s="207">
        <f t="shared" si="7"/>
        <v>0</v>
      </c>
      <c r="P10" s="69"/>
      <c r="Q10" s="208">
        <f t="shared" si="8"/>
        <v>0</v>
      </c>
      <c r="R10" s="29"/>
      <c r="S10" s="69"/>
      <c r="T10" s="69"/>
      <c r="U10" s="69"/>
      <c r="V10" s="207">
        <f t="shared" si="9"/>
        <v>0</v>
      </c>
      <c r="W10" s="69">
        <v>390</v>
      </c>
      <c r="X10" s="209">
        <f t="shared" si="10"/>
        <v>0</v>
      </c>
      <c r="Y10" s="206"/>
      <c r="Z10" s="69"/>
      <c r="AA10" s="69"/>
      <c r="AB10" s="69"/>
      <c r="AC10" s="207">
        <f t="shared" si="11"/>
        <v>0</v>
      </c>
      <c r="AD10" s="69"/>
      <c r="AE10" s="208">
        <f t="shared" si="12"/>
        <v>0</v>
      </c>
      <c r="AF10" s="206"/>
      <c r="AG10" s="69"/>
      <c r="AH10" s="69"/>
      <c r="AI10" s="69"/>
      <c r="AJ10" s="207">
        <f t="shared" si="13"/>
        <v>0</v>
      </c>
      <c r="AK10" s="98"/>
      <c r="AL10" s="208">
        <f t="shared" si="14"/>
        <v>0</v>
      </c>
      <c r="AM10" s="206"/>
      <c r="AN10" s="69"/>
      <c r="AO10" s="69"/>
      <c r="AP10" s="69"/>
      <c r="AQ10" s="207">
        <f t="shared" si="15"/>
        <v>0</v>
      </c>
      <c r="AR10" s="69"/>
      <c r="AS10" s="208">
        <f t="shared" si="16"/>
        <v>0</v>
      </c>
      <c r="AT10" s="210"/>
      <c r="AU10" s="69"/>
      <c r="AV10" s="69"/>
      <c r="AW10" s="69"/>
      <c r="AX10" s="207">
        <f t="shared" si="17"/>
        <v>0</v>
      </c>
      <c r="AY10" s="98"/>
      <c r="AZ10" s="208">
        <f t="shared" si="18"/>
        <v>0</v>
      </c>
      <c r="BA10" s="69"/>
      <c r="BB10" s="69"/>
      <c r="BC10" s="69"/>
      <c r="BD10" s="69"/>
      <c r="BE10" s="207">
        <f t="shared" si="19"/>
        <v>0</v>
      </c>
      <c r="BF10" s="98"/>
      <c r="BG10" s="211">
        <f t="shared" si="20"/>
        <v>0</v>
      </c>
      <c r="BH10" s="212">
        <f t="shared" si="2"/>
        <v>0</v>
      </c>
      <c r="BI10" s="69">
        <f t="shared" si="3"/>
        <v>0</v>
      </c>
      <c r="BJ10" s="69">
        <f t="shared" si="4"/>
        <v>0</v>
      </c>
      <c r="BK10" s="69">
        <f t="shared" si="5"/>
        <v>0</v>
      </c>
      <c r="BL10" s="207">
        <f t="shared" si="21"/>
        <v>0</v>
      </c>
      <c r="BM10" s="213">
        <f t="shared" si="6"/>
        <v>0</v>
      </c>
    </row>
    <row r="11" spans="1:65" s="77" customFormat="1" x14ac:dyDescent="0.2">
      <c r="A11" s="77" t="s">
        <v>40</v>
      </c>
      <c r="B11" s="77">
        <f t="shared" si="0"/>
        <v>4</v>
      </c>
      <c r="C11" s="76">
        <f t="shared" si="1"/>
        <v>1400</v>
      </c>
      <c r="D11" s="206"/>
      <c r="E11" s="69"/>
      <c r="F11" s="69"/>
      <c r="G11" s="69"/>
      <c r="H11" s="207"/>
      <c r="I11" s="69"/>
      <c r="J11" s="208"/>
      <c r="K11" s="206"/>
      <c r="L11" s="69"/>
      <c r="M11" s="69"/>
      <c r="N11" s="69"/>
      <c r="O11" s="207">
        <f t="shared" si="7"/>
        <v>0</v>
      </c>
      <c r="P11" s="69"/>
      <c r="Q11" s="208">
        <f t="shared" si="8"/>
        <v>0</v>
      </c>
      <c r="R11" s="29">
        <v>4</v>
      </c>
      <c r="S11" s="69"/>
      <c r="T11" s="69"/>
      <c r="U11" s="69"/>
      <c r="V11" s="207">
        <f t="shared" si="9"/>
        <v>4</v>
      </c>
      <c r="W11" s="69">
        <v>350</v>
      </c>
      <c r="X11" s="209">
        <f t="shared" si="10"/>
        <v>1400</v>
      </c>
      <c r="Y11" s="206"/>
      <c r="Z11" s="69"/>
      <c r="AA11" s="69"/>
      <c r="AB11" s="69"/>
      <c r="AC11" s="207">
        <f t="shared" si="11"/>
        <v>0</v>
      </c>
      <c r="AD11" s="69"/>
      <c r="AE11" s="208">
        <f t="shared" si="12"/>
        <v>0</v>
      </c>
      <c r="AF11" s="206"/>
      <c r="AG11" s="69"/>
      <c r="AH11" s="69"/>
      <c r="AI11" s="69"/>
      <c r="AJ11" s="207">
        <f t="shared" si="13"/>
        <v>0</v>
      </c>
      <c r="AK11" s="98"/>
      <c r="AL11" s="208">
        <f t="shared" si="14"/>
        <v>0</v>
      </c>
      <c r="AM11" s="206"/>
      <c r="AN11" s="69"/>
      <c r="AO11" s="69"/>
      <c r="AP11" s="69"/>
      <c r="AQ11" s="207">
        <f t="shared" si="15"/>
        <v>0</v>
      </c>
      <c r="AR11" s="69"/>
      <c r="AS11" s="208">
        <f t="shared" si="16"/>
        <v>0</v>
      </c>
      <c r="AT11" s="210"/>
      <c r="AU11" s="69"/>
      <c r="AV11" s="69"/>
      <c r="AW11" s="69"/>
      <c r="AX11" s="207">
        <f t="shared" si="17"/>
        <v>0</v>
      </c>
      <c r="AY11" s="98"/>
      <c r="AZ11" s="208">
        <f t="shared" si="18"/>
        <v>0</v>
      </c>
      <c r="BA11" s="69"/>
      <c r="BB11" s="69"/>
      <c r="BC11" s="69"/>
      <c r="BD11" s="69"/>
      <c r="BE11" s="207">
        <f t="shared" si="19"/>
        <v>0</v>
      </c>
      <c r="BF11" s="98"/>
      <c r="BG11" s="211">
        <f t="shared" si="20"/>
        <v>0</v>
      </c>
      <c r="BH11" s="212">
        <f t="shared" si="2"/>
        <v>4</v>
      </c>
      <c r="BI11" s="69">
        <f t="shared" si="3"/>
        <v>0</v>
      </c>
      <c r="BJ11" s="69">
        <f t="shared" si="4"/>
        <v>0</v>
      </c>
      <c r="BK11" s="69">
        <f t="shared" si="5"/>
        <v>0</v>
      </c>
      <c r="BL11" s="207">
        <f t="shared" si="21"/>
        <v>4</v>
      </c>
      <c r="BM11" s="213">
        <f t="shared" si="6"/>
        <v>1400</v>
      </c>
    </row>
    <row r="12" spans="1:65" s="77" customFormat="1" x14ac:dyDescent="0.2">
      <c r="A12" s="77" t="s">
        <v>46</v>
      </c>
      <c r="B12" s="77">
        <f t="shared" si="0"/>
        <v>0</v>
      </c>
      <c r="C12" s="76">
        <f t="shared" si="1"/>
        <v>0</v>
      </c>
      <c r="D12" s="206"/>
      <c r="E12" s="69"/>
      <c r="F12" s="69"/>
      <c r="G12" s="69"/>
      <c r="H12" s="207"/>
      <c r="I12" s="69"/>
      <c r="J12" s="208"/>
      <c r="K12" s="206"/>
      <c r="L12" s="69"/>
      <c r="M12" s="69"/>
      <c r="N12" s="69"/>
      <c r="O12" s="207">
        <f t="shared" si="7"/>
        <v>0</v>
      </c>
      <c r="P12" s="69"/>
      <c r="Q12" s="208">
        <f t="shared" si="8"/>
        <v>0</v>
      </c>
      <c r="R12" s="29"/>
      <c r="S12" s="69"/>
      <c r="T12" s="69"/>
      <c r="U12" s="69"/>
      <c r="V12" s="207">
        <f t="shared" si="9"/>
        <v>0</v>
      </c>
      <c r="W12" s="69"/>
      <c r="X12" s="209">
        <f t="shared" si="10"/>
        <v>0</v>
      </c>
      <c r="Y12" s="206"/>
      <c r="Z12" s="69"/>
      <c r="AA12" s="69"/>
      <c r="AB12" s="69"/>
      <c r="AC12" s="207">
        <f t="shared" si="11"/>
        <v>0</v>
      </c>
      <c r="AD12" s="69"/>
      <c r="AE12" s="208">
        <f t="shared" si="12"/>
        <v>0</v>
      </c>
      <c r="AF12" s="206"/>
      <c r="AG12" s="69"/>
      <c r="AH12" s="69"/>
      <c r="AI12" s="69"/>
      <c r="AJ12" s="207">
        <f t="shared" si="13"/>
        <v>0</v>
      </c>
      <c r="AK12" s="98"/>
      <c r="AL12" s="208">
        <f t="shared" si="14"/>
        <v>0</v>
      </c>
      <c r="AM12" s="206"/>
      <c r="AN12" s="69"/>
      <c r="AO12" s="69"/>
      <c r="AP12" s="69"/>
      <c r="AQ12" s="207">
        <f t="shared" si="15"/>
        <v>0</v>
      </c>
      <c r="AR12" s="69"/>
      <c r="AS12" s="208">
        <f t="shared" si="16"/>
        <v>0</v>
      </c>
      <c r="AT12" s="210"/>
      <c r="AU12" s="69"/>
      <c r="AV12" s="69"/>
      <c r="AW12" s="69"/>
      <c r="AX12" s="207">
        <f t="shared" si="17"/>
        <v>0</v>
      </c>
      <c r="AY12" s="98"/>
      <c r="AZ12" s="208">
        <f t="shared" si="18"/>
        <v>0</v>
      </c>
      <c r="BA12" s="69"/>
      <c r="BB12" s="69"/>
      <c r="BC12" s="69"/>
      <c r="BD12" s="69"/>
      <c r="BE12" s="207">
        <f t="shared" si="19"/>
        <v>0</v>
      </c>
      <c r="BF12" s="98"/>
      <c r="BG12" s="211">
        <f t="shared" si="20"/>
        <v>0</v>
      </c>
      <c r="BH12" s="212">
        <f t="shared" si="2"/>
        <v>0</v>
      </c>
      <c r="BI12" s="69">
        <f t="shared" si="3"/>
        <v>0</v>
      </c>
      <c r="BJ12" s="69">
        <f t="shared" si="4"/>
        <v>0</v>
      </c>
      <c r="BK12" s="69">
        <f t="shared" si="5"/>
        <v>0</v>
      </c>
      <c r="BL12" s="207">
        <f t="shared" si="21"/>
        <v>0</v>
      </c>
      <c r="BM12" s="213">
        <f t="shared" si="6"/>
        <v>0</v>
      </c>
    </row>
    <row r="13" spans="1:65" s="77" customFormat="1" x14ac:dyDescent="0.2">
      <c r="A13" s="77" t="s">
        <v>713</v>
      </c>
      <c r="B13" s="77">
        <f t="shared" si="0"/>
        <v>258</v>
      </c>
      <c r="C13" s="76">
        <f t="shared" si="1"/>
        <v>182922</v>
      </c>
      <c r="D13" s="206"/>
      <c r="E13" s="69"/>
      <c r="F13" s="69"/>
      <c r="G13" s="69"/>
      <c r="H13" s="207"/>
      <c r="I13" s="612">
        <v>939</v>
      </c>
      <c r="J13" s="208"/>
      <c r="K13" s="206">
        <v>258</v>
      </c>
      <c r="L13" s="69"/>
      <c r="M13" s="69"/>
      <c r="N13" s="69"/>
      <c r="O13" s="207">
        <f t="shared" si="7"/>
        <v>258</v>
      </c>
      <c r="P13" s="612">
        <v>709</v>
      </c>
      <c r="Q13" s="208">
        <f t="shared" si="8"/>
        <v>182922</v>
      </c>
      <c r="R13" s="29"/>
      <c r="S13" s="69"/>
      <c r="T13" s="69"/>
      <c r="U13" s="69"/>
      <c r="V13" s="207">
        <f t="shared" si="9"/>
        <v>0</v>
      </c>
      <c r="W13" s="69"/>
      <c r="X13" s="209">
        <f t="shared" si="10"/>
        <v>0</v>
      </c>
      <c r="Y13" s="210"/>
      <c r="Z13" s="69"/>
      <c r="AA13" s="69"/>
      <c r="AB13" s="69"/>
      <c r="AC13" s="207">
        <f t="shared" si="11"/>
        <v>0</v>
      </c>
      <c r="AD13" s="612">
        <v>0</v>
      </c>
      <c r="AE13" s="208">
        <f t="shared" si="12"/>
        <v>0</v>
      </c>
      <c r="AF13" s="206"/>
      <c r="AG13" s="69"/>
      <c r="AH13" s="69"/>
      <c r="AI13" s="69"/>
      <c r="AJ13" s="207">
        <f t="shared" si="13"/>
        <v>0</v>
      </c>
      <c r="AK13" s="98"/>
      <c r="AL13" s="208">
        <f t="shared" si="14"/>
        <v>0</v>
      </c>
      <c r="AM13" s="206"/>
      <c r="AN13" s="69"/>
      <c r="AO13" s="69"/>
      <c r="AP13" s="69"/>
      <c r="AQ13" s="207">
        <f t="shared" si="15"/>
        <v>0</v>
      </c>
      <c r="AR13" s="69"/>
      <c r="AS13" s="208">
        <f t="shared" si="16"/>
        <v>0</v>
      </c>
      <c r="AT13" s="210"/>
      <c r="AU13" s="69"/>
      <c r="AV13" s="69"/>
      <c r="AW13" s="69"/>
      <c r="AX13" s="207">
        <f t="shared" si="17"/>
        <v>0</v>
      </c>
      <c r="AY13" s="615">
        <v>973</v>
      </c>
      <c r="AZ13" s="208">
        <f t="shared" si="18"/>
        <v>0</v>
      </c>
      <c r="BA13" s="206"/>
      <c r="BB13" s="69"/>
      <c r="BC13" s="69"/>
      <c r="BD13" s="69"/>
      <c r="BE13" s="207">
        <f t="shared" si="19"/>
        <v>0</v>
      </c>
      <c r="BF13" s="98"/>
      <c r="BG13" s="211">
        <f t="shared" si="20"/>
        <v>0</v>
      </c>
      <c r="BH13" s="212">
        <f t="shared" si="2"/>
        <v>258</v>
      </c>
      <c r="BI13" s="69">
        <f t="shared" si="3"/>
        <v>0</v>
      </c>
      <c r="BJ13" s="69">
        <f t="shared" si="4"/>
        <v>0</v>
      </c>
      <c r="BK13" s="69">
        <f t="shared" si="5"/>
        <v>0</v>
      </c>
      <c r="BL13" s="207">
        <f t="shared" si="21"/>
        <v>258</v>
      </c>
      <c r="BM13" s="213">
        <f t="shared" si="6"/>
        <v>182922</v>
      </c>
    </row>
    <row r="14" spans="1:65" s="77" customFormat="1" x14ac:dyDescent="0.2">
      <c r="A14" s="77" t="s">
        <v>47</v>
      </c>
      <c r="B14" s="77">
        <f t="shared" si="0"/>
        <v>4235</v>
      </c>
      <c r="C14" s="76">
        <f t="shared" si="1"/>
        <v>1508091</v>
      </c>
      <c r="D14" s="206">
        <v>109</v>
      </c>
      <c r="E14" s="69"/>
      <c r="F14" s="69"/>
      <c r="G14" s="69"/>
      <c r="H14" s="207">
        <f>SUM(D14:G14)</f>
        <v>109</v>
      </c>
      <c r="I14" s="612">
        <v>13</v>
      </c>
      <c r="J14" s="208">
        <f>H14*I14</f>
        <v>1417</v>
      </c>
      <c r="K14" s="206">
        <f>752+17+3+8+108+4+7</f>
        <v>899</v>
      </c>
      <c r="L14" s="69"/>
      <c r="M14" s="69"/>
      <c r="N14" s="69"/>
      <c r="O14" s="207">
        <f t="shared" si="7"/>
        <v>899</v>
      </c>
      <c r="P14" s="612">
        <v>551</v>
      </c>
      <c r="Q14" s="208">
        <f t="shared" si="8"/>
        <v>495349</v>
      </c>
      <c r="R14" s="29">
        <v>29</v>
      </c>
      <c r="S14" s="69"/>
      <c r="T14" s="69"/>
      <c r="U14" s="69"/>
      <c r="V14" s="207">
        <f t="shared" si="9"/>
        <v>29</v>
      </c>
      <c r="W14" s="522">
        <v>468</v>
      </c>
      <c r="X14" s="209">
        <f t="shared" si="10"/>
        <v>13572</v>
      </c>
      <c r="Y14" s="210">
        <v>783</v>
      </c>
      <c r="Z14" s="69"/>
      <c r="AA14" s="69"/>
      <c r="AB14" s="69"/>
      <c r="AC14" s="207">
        <f t="shared" si="11"/>
        <v>783</v>
      </c>
      <c r="AD14" s="612">
        <v>379</v>
      </c>
      <c r="AE14" s="208">
        <f t="shared" si="12"/>
        <v>296757</v>
      </c>
      <c r="AF14" s="206">
        <v>977</v>
      </c>
      <c r="AG14" s="69"/>
      <c r="AH14" s="69"/>
      <c r="AI14" s="69"/>
      <c r="AJ14" s="207">
        <f t="shared" si="13"/>
        <v>977</v>
      </c>
      <c r="AK14" s="522">
        <v>228</v>
      </c>
      <c r="AL14" s="208">
        <f t="shared" si="14"/>
        <v>222756</v>
      </c>
      <c r="AM14" s="206">
        <v>887</v>
      </c>
      <c r="AN14" s="69"/>
      <c r="AO14" s="69"/>
      <c r="AP14" s="69"/>
      <c r="AQ14" s="207">
        <f t="shared" si="15"/>
        <v>887</v>
      </c>
      <c r="AR14" s="612">
        <v>270</v>
      </c>
      <c r="AS14" s="208">
        <f t="shared" si="16"/>
        <v>239490</v>
      </c>
      <c r="AT14" s="210">
        <v>413</v>
      </c>
      <c r="AU14" s="69"/>
      <c r="AV14" s="69"/>
      <c r="AW14" s="69"/>
      <c r="AX14" s="207">
        <f t="shared" si="17"/>
        <v>413</v>
      </c>
      <c r="AY14" s="615">
        <v>542</v>
      </c>
      <c r="AZ14" s="208">
        <f t="shared" si="18"/>
        <v>223846</v>
      </c>
      <c r="BA14" s="69">
        <v>138</v>
      </c>
      <c r="BB14" s="69"/>
      <c r="BC14" s="69"/>
      <c r="BD14" s="69"/>
      <c r="BE14" s="207">
        <f t="shared" si="19"/>
        <v>138</v>
      </c>
      <c r="BF14" s="612">
        <v>108</v>
      </c>
      <c r="BG14" s="211">
        <f t="shared" si="20"/>
        <v>14904</v>
      </c>
      <c r="BH14" s="212">
        <f t="shared" si="2"/>
        <v>4235</v>
      </c>
      <c r="BI14" s="69">
        <f t="shared" si="3"/>
        <v>0</v>
      </c>
      <c r="BJ14" s="69">
        <f t="shared" si="4"/>
        <v>0</v>
      </c>
      <c r="BK14" s="69">
        <f t="shared" si="5"/>
        <v>0</v>
      </c>
      <c r="BL14" s="207">
        <f t="shared" si="21"/>
        <v>4235</v>
      </c>
      <c r="BM14" s="213">
        <f t="shared" si="6"/>
        <v>1508091</v>
      </c>
    </row>
    <row r="15" spans="1:65" s="77" customFormat="1" x14ac:dyDescent="0.2">
      <c r="A15" s="77" t="s">
        <v>82</v>
      </c>
      <c r="B15" s="77">
        <f t="shared" si="0"/>
        <v>709</v>
      </c>
      <c r="C15" s="76">
        <f t="shared" si="1"/>
        <v>191787</v>
      </c>
      <c r="D15" s="206"/>
      <c r="E15" s="69"/>
      <c r="F15" s="69"/>
      <c r="G15" s="69"/>
      <c r="H15" s="207">
        <f>SUM(D15:G15)</f>
        <v>0</v>
      </c>
      <c r="I15" s="612">
        <v>13</v>
      </c>
      <c r="J15" s="208">
        <f>H15*I15</f>
        <v>0</v>
      </c>
      <c r="K15" s="206">
        <f>35+4</f>
        <v>39</v>
      </c>
      <c r="L15" s="69"/>
      <c r="M15" s="69"/>
      <c r="N15" s="69"/>
      <c r="O15" s="207">
        <f t="shared" si="7"/>
        <v>39</v>
      </c>
      <c r="P15" s="612">
        <v>370</v>
      </c>
      <c r="Q15" s="208">
        <f t="shared" si="8"/>
        <v>14430</v>
      </c>
      <c r="R15" s="29"/>
      <c r="S15" s="69"/>
      <c r="T15" s="69"/>
      <c r="U15" s="69"/>
      <c r="V15" s="207">
        <f t="shared" si="9"/>
        <v>0</v>
      </c>
      <c r="W15" s="522">
        <v>435</v>
      </c>
      <c r="X15" s="209">
        <f t="shared" si="10"/>
        <v>0</v>
      </c>
      <c r="Y15" s="206">
        <v>183</v>
      </c>
      <c r="Z15" s="69"/>
      <c r="AA15" s="69"/>
      <c r="AB15" s="69"/>
      <c r="AC15" s="207">
        <f t="shared" si="11"/>
        <v>183</v>
      </c>
      <c r="AD15" s="612">
        <v>379</v>
      </c>
      <c r="AE15" s="208">
        <f t="shared" si="12"/>
        <v>69357</v>
      </c>
      <c r="AF15" s="206"/>
      <c r="AG15" s="69"/>
      <c r="AH15" s="69"/>
      <c r="AI15" s="69"/>
      <c r="AJ15" s="207">
        <f t="shared" si="13"/>
        <v>0</v>
      </c>
      <c r="AK15" s="522">
        <v>228</v>
      </c>
      <c r="AL15" s="208">
        <f t="shared" si="14"/>
        <v>0</v>
      </c>
      <c r="AM15" s="206">
        <v>58</v>
      </c>
      <c r="AN15" s="69"/>
      <c r="AO15" s="69"/>
      <c r="AP15" s="69"/>
      <c r="AQ15" s="207">
        <f t="shared" si="15"/>
        <v>58</v>
      </c>
      <c r="AR15" s="612">
        <v>270</v>
      </c>
      <c r="AS15" s="208">
        <f t="shared" si="16"/>
        <v>15660</v>
      </c>
      <c r="AT15" s="210">
        <v>426</v>
      </c>
      <c r="AU15" s="69"/>
      <c r="AV15" s="69"/>
      <c r="AW15" s="69"/>
      <c r="AX15" s="207">
        <f t="shared" si="17"/>
        <v>426</v>
      </c>
      <c r="AY15" s="615">
        <v>216</v>
      </c>
      <c r="AZ15" s="208">
        <f t="shared" si="18"/>
        <v>92016</v>
      </c>
      <c r="BA15" s="69">
        <v>3</v>
      </c>
      <c r="BB15" s="69"/>
      <c r="BC15" s="69"/>
      <c r="BD15" s="69"/>
      <c r="BE15" s="207">
        <f t="shared" si="19"/>
        <v>3</v>
      </c>
      <c r="BF15" s="612">
        <v>108</v>
      </c>
      <c r="BG15" s="211">
        <f t="shared" si="20"/>
        <v>324</v>
      </c>
      <c r="BH15" s="212">
        <f t="shared" si="2"/>
        <v>709</v>
      </c>
      <c r="BI15" s="69">
        <f t="shared" si="3"/>
        <v>0</v>
      </c>
      <c r="BJ15" s="69">
        <f t="shared" si="4"/>
        <v>0</v>
      </c>
      <c r="BK15" s="69">
        <f t="shared" si="5"/>
        <v>0</v>
      </c>
      <c r="BL15" s="207">
        <f t="shared" si="21"/>
        <v>709</v>
      </c>
      <c r="BM15" s="213">
        <f t="shared" si="6"/>
        <v>191787</v>
      </c>
    </row>
    <row r="16" spans="1:65" s="77" customFormat="1" x14ac:dyDescent="0.2">
      <c r="A16" s="77" t="s">
        <v>48</v>
      </c>
      <c r="B16" s="77">
        <f t="shared" si="0"/>
        <v>0</v>
      </c>
      <c r="C16" s="76">
        <f t="shared" si="1"/>
        <v>0</v>
      </c>
      <c r="D16" s="206"/>
      <c r="E16" s="69"/>
      <c r="F16" s="69"/>
      <c r="G16" s="69"/>
      <c r="H16" s="207"/>
      <c r="I16" s="608"/>
      <c r="J16" s="208"/>
      <c r="K16" s="206"/>
      <c r="L16" s="69"/>
      <c r="M16" s="69"/>
      <c r="N16" s="69"/>
      <c r="O16" s="207">
        <f t="shared" si="7"/>
        <v>0</v>
      </c>
      <c r="P16" s="608"/>
      <c r="Q16" s="208">
        <f t="shared" si="8"/>
        <v>0</v>
      </c>
      <c r="R16" s="29"/>
      <c r="S16" s="69"/>
      <c r="T16" s="69"/>
      <c r="U16" s="69"/>
      <c r="V16" s="207">
        <f t="shared" si="9"/>
        <v>0</v>
      </c>
      <c r="W16" s="69"/>
      <c r="X16" s="209">
        <f t="shared" si="10"/>
        <v>0</v>
      </c>
      <c r="Y16" s="210"/>
      <c r="Z16" s="69"/>
      <c r="AA16" s="69"/>
      <c r="AB16" s="69"/>
      <c r="AC16" s="207">
        <f t="shared" si="11"/>
        <v>0</v>
      </c>
      <c r="AD16" s="612">
        <v>703</v>
      </c>
      <c r="AE16" s="208">
        <f t="shared" si="12"/>
        <v>0</v>
      </c>
      <c r="AF16" s="206"/>
      <c r="AG16" s="69"/>
      <c r="AH16" s="69"/>
      <c r="AI16" s="69"/>
      <c r="AJ16" s="207">
        <f t="shared" si="13"/>
        <v>0</v>
      </c>
      <c r="AK16" s="98"/>
      <c r="AL16" s="208">
        <f t="shared" si="14"/>
        <v>0</v>
      </c>
      <c r="AM16" s="206"/>
      <c r="AN16" s="69"/>
      <c r="AO16" s="69"/>
      <c r="AP16" s="69"/>
      <c r="AQ16" s="207">
        <f t="shared" si="15"/>
        <v>0</v>
      </c>
      <c r="AR16" s="608"/>
      <c r="AS16" s="208">
        <f t="shared" si="16"/>
        <v>0</v>
      </c>
      <c r="AT16" s="210"/>
      <c r="AU16" s="69"/>
      <c r="AV16" s="69"/>
      <c r="AW16" s="69"/>
      <c r="AX16" s="207">
        <f t="shared" si="17"/>
        <v>0</v>
      </c>
      <c r="AY16" s="610"/>
      <c r="AZ16" s="208">
        <f t="shared" si="18"/>
        <v>0</v>
      </c>
      <c r="BA16" s="69"/>
      <c r="BB16" s="69"/>
      <c r="BC16" s="69"/>
      <c r="BD16" s="69"/>
      <c r="BE16" s="207">
        <f t="shared" si="19"/>
        <v>0</v>
      </c>
      <c r="BF16" s="610"/>
      <c r="BG16" s="211">
        <f t="shared" si="20"/>
        <v>0</v>
      </c>
      <c r="BH16" s="212">
        <f t="shared" si="2"/>
        <v>0</v>
      </c>
      <c r="BI16" s="69">
        <f t="shared" si="3"/>
        <v>0</v>
      </c>
      <c r="BJ16" s="69">
        <f t="shared" si="4"/>
        <v>0</v>
      </c>
      <c r="BK16" s="69">
        <f t="shared" si="5"/>
        <v>0</v>
      </c>
      <c r="BL16" s="207">
        <f t="shared" si="21"/>
        <v>0</v>
      </c>
      <c r="BM16" s="213">
        <f t="shared" si="6"/>
        <v>0</v>
      </c>
    </row>
    <row r="17" spans="1:65" s="77" customFormat="1" x14ac:dyDescent="0.2">
      <c r="A17" s="77" t="s">
        <v>49</v>
      </c>
      <c r="B17" s="77">
        <f t="shared" si="0"/>
        <v>69</v>
      </c>
      <c r="C17" s="76">
        <f t="shared" si="1"/>
        <v>15732</v>
      </c>
      <c r="D17" s="206"/>
      <c r="E17" s="69"/>
      <c r="F17" s="69"/>
      <c r="G17" s="69"/>
      <c r="H17" s="207"/>
      <c r="I17" s="608"/>
      <c r="J17" s="208"/>
      <c r="K17" s="206"/>
      <c r="L17" s="69"/>
      <c r="M17" s="69"/>
      <c r="N17" s="69"/>
      <c r="O17" s="207">
        <f t="shared" si="7"/>
        <v>0</v>
      </c>
      <c r="P17" s="608"/>
      <c r="Q17" s="208">
        <f t="shared" si="8"/>
        <v>0</v>
      </c>
      <c r="R17" s="29"/>
      <c r="S17" s="69"/>
      <c r="T17" s="69"/>
      <c r="U17" s="69"/>
      <c r="V17" s="207">
        <f t="shared" si="9"/>
        <v>0</v>
      </c>
      <c r="W17" s="69">
        <v>1050</v>
      </c>
      <c r="X17" s="209">
        <f t="shared" si="10"/>
        <v>0</v>
      </c>
      <c r="Y17" s="206"/>
      <c r="Z17" s="69"/>
      <c r="AA17" s="69"/>
      <c r="AB17" s="69"/>
      <c r="AC17" s="207">
        <f t="shared" si="11"/>
        <v>0</v>
      </c>
      <c r="AD17" s="608"/>
      <c r="AE17" s="208">
        <f t="shared" si="12"/>
        <v>0</v>
      </c>
      <c r="AF17" s="206">
        <v>69</v>
      </c>
      <c r="AG17" s="69"/>
      <c r="AH17" s="69"/>
      <c r="AI17" s="69"/>
      <c r="AJ17" s="207">
        <f t="shared" si="13"/>
        <v>69</v>
      </c>
      <c r="AK17" s="522">
        <v>228</v>
      </c>
      <c r="AL17" s="208">
        <f t="shared" si="14"/>
        <v>15732</v>
      </c>
      <c r="AM17" s="206"/>
      <c r="AN17" s="69"/>
      <c r="AO17" s="69"/>
      <c r="AP17" s="69"/>
      <c r="AQ17" s="207">
        <f t="shared" si="15"/>
        <v>0</v>
      </c>
      <c r="AR17" s="608"/>
      <c r="AS17" s="208">
        <f t="shared" si="16"/>
        <v>0</v>
      </c>
      <c r="AT17" s="210"/>
      <c r="AU17" s="69"/>
      <c r="AV17" s="69"/>
      <c r="AW17" s="69"/>
      <c r="AX17" s="207">
        <f t="shared" si="17"/>
        <v>0</v>
      </c>
      <c r="AY17" s="610"/>
      <c r="AZ17" s="208">
        <f t="shared" si="18"/>
        <v>0</v>
      </c>
      <c r="BA17" s="69"/>
      <c r="BB17" s="69"/>
      <c r="BC17" s="69"/>
      <c r="BD17" s="69"/>
      <c r="BE17" s="207">
        <f t="shared" si="19"/>
        <v>0</v>
      </c>
      <c r="BF17" s="610"/>
      <c r="BG17" s="211">
        <f t="shared" si="20"/>
        <v>0</v>
      </c>
      <c r="BH17" s="212">
        <f t="shared" si="2"/>
        <v>69</v>
      </c>
      <c r="BI17" s="69">
        <f t="shared" si="3"/>
        <v>0</v>
      </c>
      <c r="BJ17" s="69">
        <f t="shared" si="4"/>
        <v>0</v>
      </c>
      <c r="BK17" s="69">
        <f t="shared" si="5"/>
        <v>0</v>
      </c>
      <c r="BL17" s="207">
        <f t="shared" si="21"/>
        <v>69</v>
      </c>
      <c r="BM17" s="213">
        <f t="shared" si="6"/>
        <v>15732</v>
      </c>
    </row>
    <row r="18" spans="1:65" s="77" customFormat="1" x14ac:dyDescent="0.2">
      <c r="A18" s="77" t="s">
        <v>50</v>
      </c>
      <c r="B18" s="77">
        <f t="shared" si="0"/>
        <v>0</v>
      </c>
      <c r="C18" s="76">
        <f t="shared" si="1"/>
        <v>0</v>
      </c>
      <c r="D18" s="206"/>
      <c r="E18" s="69"/>
      <c r="F18" s="69"/>
      <c r="G18" s="69"/>
      <c r="H18" s="207"/>
      <c r="I18" s="608"/>
      <c r="J18" s="208"/>
      <c r="K18" s="69"/>
      <c r="L18" s="69"/>
      <c r="M18" s="69"/>
      <c r="N18" s="69"/>
      <c r="O18" s="207">
        <f t="shared" si="7"/>
        <v>0</v>
      </c>
      <c r="P18" s="608"/>
      <c r="Q18" s="208">
        <f t="shared" si="8"/>
        <v>0</v>
      </c>
      <c r="R18" s="29"/>
      <c r="S18" s="69"/>
      <c r="T18" s="69"/>
      <c r="U18" s="69"/>
      <c r="V18" s="207">
        <f t="shared" si="9"/>
        <v>0</v>
      </c>
      <c r="W18" s="69"/>
      <c r="X18" s="209">
        <f t="shared" si="10"/>
        <v>0</v>
      </c>
      <c r="Y18" s="206"/>
      <c r="Z18" s="69"/>
      <c r="AA18" s="69"/>
      <c r="AB18" s="69"/>
      <c r="AC18" s="207">
        <f t="shared" si="11"/>
        <v>0</v>
      </c>
      <c r="AD18" s="608"/>
      <c r="AE18" s="208">
        <f t="shared" si="12"/>
        <v>0</v>
      </c>
      <c r="AF18" s="206"/>
      <c r="AG18" s="69"/>
      <c r="AH18" s="69"/>
      <c r="AI18" s="69"/>
      <c r="AJ18" s="207">
        <f t="shared" si="13"/>
        <v>0</v>
      </c>
      <c r="AK18" s="98"/>
      <c r="AL18" s="208">
        <f t="shared" si="14"/>
        <v>0</v>
      </c>
      <c r="AM18" s="206"/>
      <c r="AN18" s="69"/>
      <c r="AO18" s="69"/>
      <c r="AP18" s="69"/>
      <c r="AQ18" s="207">
        <f t="shared" si="15"/>
        <v>0</v>
      </c>
      <c r="AR18" s="608"/>
      <c r="AS18" s="208">
        <f t="shared" si="16"/>
        <v>0</v>
      </c>
      <c r="AT18" s="210"/>
      <c r="AU18" s="69"/>
      <c r="AV18" s="69"/>
      <c r="AW18" s="69"/>
      <c r="AX18" s="207">
        <f t="shared" si="17"/>
        <v>0</v>
      </c>
      <c r="AY18" s="610"/>
      <c r="AZ18" s="208">
        <f t="shared" si="18"/>
        <v>0</v>
      </c>
      <c r="BA18" s="69"/>
      <c r="BB18" s="69"/>
      <c r="BC18" s="69"/>
      <c r="BD18" s="69"/>
      <c r="BE18" s="207">
        <f t="shared" si="19"/>
        <v>0</v>
      </c>
      <c r="BF18" s="610"/>
      <c r="BG18" s="211">
        <f t="shared" si="20"/>
        <v>0</v>
      </c>
      <c r="BH18" s="212">
        <f t="shared" si="2"/>
        <v>0</v>
      </c>
      <c r="BI18" s="69">
        <f t="shared" si="3"/>
        <v>0</v>
      </c>
      <c r="BJ18" s="69">
        <f t="shared" si="4"/>
        <v>0</v>
      </c>
      <c r="BK18" s="69">
        <f t="shared" si="5"/>
        <v>0</v>
      </c>
      <c r="BL18" s="207">
        <f t="shared" si="21"/>
        <v>0</v>
      </c>
      <c r="BM18" s="213">
        <f t="shared" si="6"/>
        <v>0</v>
      </c>
    </row>
    <row r="19" spans="1:65" s="77" customFormat="1" x14ac:dyDescent="0.2">
      <c r="A19" s="77" t="s">
        <v>86</v>
      </c>
      <c r="B19" s="77">
        <f t="shared" si="0"/>
        <v>0</v>
      </c>
      <c r="C19" s="76">
        <f t="shared" si="1"/>
        <v>0</v>
      </c>
      <c r="D19" s="206"/>
      <c r="E19" s="69"/>
      <c r="F19" s="69"/>
      <c r="G19" s="69"/>
      <c r="H19" s="207"/>
      <c r="I19" s="608"/>
      <c r="J19" s="208"/>
      <c r="K19" s="69"/>
      <c r="L19" s="69"/>
      <c r="M19" s="69"/>
      <c r="N19" s="69"/>
      <c r="O19" s="207">
        <f t="shared" si="7"/>
        <v>0</v>
      </c>
      <c r="P19" s="608"/>
      <c r="Q19" s="208">
        <f t="shared" si="8"/>
        <v>0</v>
      </c>
      <c r="R19" s="29"/>
      <c r="S19" s="69"/>
      <c r="T19" s="69"/>
      <c r="U19" s="69"/>
      <c r="V19" s="207">
        <f t="shared" si="9"/>
        <v>0</v>
      </c>
      <c r="W19" s="69"/>
      <c r="X19" s="209">
        <f t="shared" si="10"/>
        <v>0</v>
      </c>
      <c r="Y19" s="206"/>
      <c r="Z19" s="69"/>
      <c r="AA19" s="69"/>
      <c r="AB19" s="69"/>
      <c r="AC19" s="207">
        <f t="shared" si="11"/>
        <v>0</v>
      </c>
      <c r="AD19" s="608"/>
      <c r="AE19" s="208">
        <f t="shared" si="12"/>
        <v>0</v>
      </c>
      <c r="AF19" s="206"/>
      <c r="AG19" s="69"/>
      <c r="AH19" s="69"/>
      <c r="AI19" s="69"/>
      <c r="AJ19" s="207">
        <f t="shared" si="13"/>
        <v>0</v>
      </c>
      <c r="AK19" s="98"/>
      <c r="AL19" s="208">
        <f t="shared" si="14"/>
        <v>0</v>
      </c>
      <c r="AM19" s="206"/>
      <c r="AN19" s="69"/>
      <c r="AO19" s="69"/>
      <c r="AP19" s="69"/>
      <c r="AQ19" s="207">
        <f t="shared" si="15"/>
        <v>0</v>
      </c>
      <c r="AR19" s="608"/>
      <c r="AS19" s="208">
        <f t="shared" si="16"/>
        <v>0</v>
      </c>
      <c r="AT19" s="210"/>
      <c r="AU19" s="69"/>
      <c r="AV19" s="69"/>
      <c r="AW19" s="69"/>
      <c r="AX19" s="207">
        <f t="shared" si="17"/>
        <v>0</v>
      </c>
      <c r="AY19" s="610"/>
      <c r="AZ19" s="208">
        <f t="shared" si="18"/>
        <v>0</v>
      </c>
      <c r="BA19" s="206"/>
      <c r="BB19" s="69"/>
      <c r="BC19" s="69"/>
      <c r="BD19" s="69"/>
      <c r="BE19" s="207">
        <f t="shared" si="19"/>
        <v>0</v>
      </c>
      <c r="BF19" s="610"/>
      <c r="BG19" s="211">
        <f t="shared" si="20"/>
        <v>0</v>
      </c>
      <c r="BH19" s="212">
        <f t="shared" si="2"/>
        <v>0</v>
      </c>
      <c r="BI19" s="69">
        <f t="shared" si="3"/>
        <v>0</v>
      </c>
      <c r="BJ19" s="69">
        <f t="shared" si="4"/>
        <v>0</v>
      </c>
      <c r="BK19" s="69">
        <f t="shared" si="5"/>
        <v>0</v>
      </c>
      <c r="BL19" s="207">
        <f t="shared" si="21"/>
        <v>0</v>
      </c>
      <c r="BM19" s="213">
        <f t="shared" si="6"/>
        <v>0</v>
      </c>
    </row>
    <row r="20" spans="1:65" s="77" customFormat="1" x14ac:dyDescent="0.2">
      <c r="A20" s="77" t="s">
        <v>41</v>
      </c>
      <c r="B20" s="77">
        <f t="shared" si="0"/>
        <v>12</v>
      </c>
      <c r="C20" s="76">
        <f t="shared" si="1"/>
        <v>23124</v>
      </c>
      <c r="D20" s="206"/>
      <c r="E20" s="69"/>
      <c r="F20" s="69"/>
      <c r="G20" s="69"/>
      <c r="H20" s="207"/>
      <c r="I20" s="608"/>
      <c r="J20" s="208"/>
      <c r="K20" s="69"/>
      <c r="L20" s="69"/>
      <c r="M20" s="69"/>
      <c r="N20" s="69"/>
      <c r="O20" s="207">
        <f t="shared" si="7"/>
        <v>0</v>
      </c>
      <c r="P20" s="608"/>
      <c r="Q20" s="208">
        <f t="shared" si="8"/>
        <v>0</v>
      </c>
      <c r="R20" s="29">
        <v>12</v>
      </c>
      <c r="S20" s="69"/>
      <c r="T20" s="69"/>
      <c r="U20" s="69"/>
      <c r="V20" s="207">
        <f t="shared" si="9"/>
        <v>12</v>
      </c>
      <c r="W20" s="522">
        <v>1927</v>
      </c>
      <c r="X20" s="209">
        <f t="shared" si="10"/>
        <v>23124</v>
      </c>
      <c r="Y20" s="206"/>
      <c r="Z20" s="69"/>
      <c r="AA20" s="69"/>
      <c r="AB20" s="69"/>
      <c r="AC20" s="207">
        <f t="shared" si="11"/>
        <v>0</v>
      </c>
      <c r="AD20" s="612">
        <v>2651</v>
      </c>
      <c r="AE20" s="208">
        <f t="shared" si="12"/>
        <v>0</v>
      </c>
      <c r="AF20" s="206"/>
      <c r="AG20" s="69"/>
      <c r="AH20" s="69"/>
      <c r="AI20" s="69"/>
      <c r="AJ20" s="207">
        <f t="shared" si="13"/>
        <v>0</v>
      </c>
      <c r="AK20" s="98"/>
      <c r="AL20" s="208">
        <f t="shared" si="14"/>
        <v>0</v>
      </c>
      <c r="AM20" s="206"/>
      <c r="AN20" s="69"/>
      <c r="AO20" s="69"/>
      <c r="AP20" s="69"/>
      <c r="AQ20" s="207">
        <f t="shared" si="15"/>
        <v>0</v>
      </c>
      <c r="AR20" s="608"/>
      <c r="AS20" s="208">
        <f t="shared" si="16"/>
        <v>0</v>
      </c>
      <c r="AT20" s="210"/>
      <c r="AU20" s="69"/>
      <c r="AV20" s="69"/>
      <c r="AW20" s="69"/>
      <c r="AX20" s="207">
        <f t="shared" si="17"/>
        <v>0</v>
      </c>
      <c r="AY20" s="610"/>
      <c r="AZ20" s="208">
        <f t="shared" si="18"/>
        <v>0</v>
      </c>
      <c r="BA20" s="69"/>
      <c r="BB20" s="69"/>
      <c r="BC20" s="69"/>
      <c r="BD20" s="69"/>
      <c r="BE20" s="207">
        <f t="shared" si="19"/>
        <v>0</v>
      </c>
      <c r="BF20" s="610"/>
      <c r="BG20" s="211">
        <f t="shared" si="20"/>
        <v>0</v>
      </c>
      <c r="BH20" s="212">
        <f t="shared" si="2"/>
        <v>12</v>
      </c>
      <c r="BI20" s="69">
        <f t="shared" si="3"/>
        <v>0</v>
      </c>
      <c r="BJ20" s="69">
        <f t="shared" si="4"/>
        <v>0</v>
      </c>
      <c r="BK20" s="69">
        <f t="shared" si="5"/>
        <v>0</v>
      </c>
      <c r="BL20" s="207">
        <f t="shared" si="21"/>
        <v>12</v>
      </c>
      <c r="BM20" s="213">
        <f t="shared" si="6"/>
        <v>23124</v>
      </c>
    </row>
    <row r="21" spans="1:65" s="77" customFormat="1" x14ac:dyDescent="0.2">
      <c r="A21" s="77" t="s">
        <v>42</v>
      </c>
      <c r="B21" s="77">
        <f t="shared" si="0"/>
        <v>41</v>
      </c>
      <c r="C21" s="76">
        <f t="shared" si="1"/>
        <v>9348</v>
      </c>
      <c r="D21" s="206"/>
      <c r="E21" s="69"/>
      <c r="F21" s="69"/>
      <c r="G21" s="69"/>
      <c r="H21" s="207"/>
      <c r="I21" s="608"/>
      <c r="J21" s="208"/>
      <c r="K21" s="69"/>
      <c r="L21" s="69"/>
      <c r="M21" s="69"/>
      <c r="N21" s="69"/>
      <c r="O21" s="207">
        <f t="shared" si="7"/>
        <v>0</v>
      </c>
      <c r="P21" s="608"/>
      <c r="Q21" s="208">
        <f t="shared" si="8"/>
        <v>0</v>
      </c>
      <c r="R21" s="29"/>
      <c r="S21" s="69"/>
      <c r="T21" s="69"/>
      <c r="U21" s="69"/>
      <c r="V21" s="207">
        <f t="shared" si="9"/>
        <v>0</v>
      </c>
      <c r="W21" s="69"/>
      <c r="X21" s="209">
        <f t="shared" si="10"/>
        <v>0</v>
      </c>
      <c r="Y21" s="206"/>
      <c r="Z21" s="69"/>
      <c r="AA21" s="69"/>
      <c r="AB21" s="69"/>
      <c r="AC21" s="207">
        <f t="shared" si="11"/>
        <v>0</v>
      </c>
      <c r="AD21" s="608"/>
      <c r="AE21" s="208">
        <f t="shared" si="12"/>
        <v>0</v>
      </c>
      <c r="AF21" s="206">
        <v>41</v>
      </c>
      <c r="AG21" s="69"/>
      <c r="AH21" s="69"/>
      <c r="AI21" s="69"/>
      <c r="AJ21" s="207">
        <f t="shared" si="13"/>
        <v>41</v>
      </c>
      <c r="AK21" s="522">
        <v>228</v>
      </c>
      <c r="AL21" s="208">
        <f t="shared" si="14"/>
        <v>9348</v>
      </c>
      <c r="AM21" s="206"/>
      <c r="AN21" s="69"/>
      <c r="AO21" s="69"/>
      <c r="AP21" s="69"/>
      <c r="AQ21" s="207">
        <f t="shared" si="15"/>
        <v>0</v>
      </c>
      <c r="AR21" s="608"/>
      <c r="AS21" s="208">
        <f t="shared" si="16"/>
        <v>0</v>
      </c>
      <c r="AT21" s="210"/>
      <c r="AU21" s="69"/>
      <c r="AV21" s="69"/>
      <c r="AW21" s="69"/>
      <c r="AX21" s="207">
        <f t="shared" si="17"/>
        <v>0</v>
      </c>
      <c r="AY21" s="610"/>
      <c r="AZ21" s="208">
        <f t="shared" si="18"/>
        <v>0</v>
      </c>
      <c r="BA21" s="69"/>
      <c r="BB21" s="69"/>
      <c r="BC21" s="69"/>
      <c r="BD21" s="69"/>
      <c r="BE21" s="207">
        <f t="shared" si="19"/>
        <v>0</v>
      </c>
      <c r="BF21" s="610"/>
      <c r="BG21" s="211">
        <f t="shared" si="20"/>
        <v>0</v>
      </c>
      <c r="BH21" s="212">
        <f t="shared" si="2"/>
        <v>41</v>
      </c>
      <c r="BI21" s="69">
        <f t="shared" si="3"/>
        <v>0</v>
      </c>
      <c r="BJ21" s="69">
        <f t="shared" si="4"/>
        <v>0</v>
      </c>
      <c r="BK21" s="69">
        <f t="shared" si="5"/>
        <v>0</v>
      </c>
      <c r="BL21" s="207">
        <f t="shared" si="21"/>
        <v>41</v>
      </c>
      <c r="BM21" s="213">
        <f t="shared" si="6"/>
        <v>9348</v>
      </c>
    </row>
    <row r="22" spans="1:65" s="77" customFormat="1" x14ac:dyDescent="0.2">
      <c r="A22" s="77" t="s">
        <v>43</v>
      </c>
      <c r="B22" s="77">
        <f t="shared" si="0"/>
        <v>10</v>
      </c>
      <c r="C22" s="76">
        <f t="shared" si="1"/>
        <v>17264</v>
      </c>
      <c r="D22" s="206"/>
      <c r="E22" s="69"/>
      <c r="F22" s="69"/>
      <c r="G22" s="69"/>
      <c r="H22" s="207"/>
      <c r="I22" s="612">
        <v>1673</v>
      </c>
      <c r="J22" s="208"/>
      <c r="K22" s="69"/>
      <c r="L22" s="69"/>
      <c r="M22" s="69"/>
      <c r="N22" s="69"/>
      <c r="O22" s="207">
        <f t="shared" si="7"/>
        <v>0</v>
      </c>
      <c r="P22" s="612">
        <v>1536</v>
      </c>
      <c r="Q22" s="208">
        <f t="shared" si="8"/>
        <v>0</v>
      </c>
      <c r="R22" s="29">
        <v>2</v>
      </c>
      <c r="S22" s="69"/>
      <c r="T22" s="69"/>
      <c r="U22" s="69"/>
      <c r="V22" s="207">
        <f t="shared" si="9"/>
        <v>2</v>
      </c>
      <c r="W22" s="522">
        <v>1332</v>
      </c>
      <c r="X22" s="209">
        <f t="shared" si="10"/>
        <v>2664</v>
      </c>
      <c r="Y22" s="210">
        <v>6</v>
      </c>
      <c r="Z22" s="69"/>
      <c r="AA22" s="69"/>
      <c r="AB22" s="69"/>
      <c r="AC22" s="207">
        <f t="shared" si="11"/>
        <v>6</v>
      </c>
      <c r="AD22" s="612">
        <v>2109</v>
      </c>
      <c r="AE22" s="208">
        <f t="shared" si="12"/>
        <v>12654</v>
      </c>
      <c r="AF22" s="206"/>
      <c r="AG22" s="69"/>
      <c r="AH22" s="69"/>
      <c r="AI22" s="69"/>
      <c r="AJ22" s="207">
        <f t="shared" si="13"/>
        <v>0</v>
      </c>
      <c r="AK22" s="522">
        <v>1342</v>
      </c>
      <c r="AL22" s="208">
        <f t="shared" si="14"/>
        <v>0</v>
      </c>
      <c r="AM22" s="206"/>
      <c r="AN22" s="69"/>
      <c r="AO22" s="69"/>
      <c r="AP22" s="69"/>
      <c r="AQ22" s="207">
        <f t="shared" si="15"/>
        <v>0</v>
      </c>
      <c r="AR22" s="612">
        <v>812</v>
      </c>
      <c r="AS22" s="208">
        <f t="shared" si="16"/>
        <v>0</v>
      </c>
      <c r="AT22" s="210">
        <v>2</v>
      </c>
      <c r="AU22" s="69"/>
      <c r="AV22" s="69"/>
      <c r="AW22" s="69"/>
      <c r="AX22" s="207">
        <f t="shared" si="17"/>
        <v>2</v>
      </c>
      <c r="AY22" s="610">
        <v>973</v>
      </c>
      <c r="AZ22" s="208">
        <f t="shared" si="18"/>
        <v>1946</v>
      </c>
      <c r="BA22" s="69"/>
      <c r="BB22" s="69"/>
      <c r="BC22" s="69"/>
      <c r="BD22" s="69"/>
      <c r="BE22" s="207">
        <f t="shared" si="19"/>
        <v>0</v>
      </c>
      <c r="BF22" s="610"/>
      <c r="BG22" s="211">
        <f t="shared" si="20"/>
        <v>0</v>
      </c>
      <c r="BH22" s="212">
        <f t="shared" si="2"/>
        <v>10</v>
      </c>
      <c r="BI22" s="69">
        <f t="shared" si="3"/>
        <v>0</v>
      </c>
      <c r="BJ22" s="69">
        <f t="shared" si="4"/>
        <v>0</v>
      </c>
      <c r="BK22" s="69">
        <f t="shared" si="5"/>
        <v>0</v>
      </c>
      <c r="BL22" s="207">
        <f t="shared" si="21"/>
        <v>10</v>
      </c>
      <c r="BM22" s="213">
        <f t="shared" si="6"/>
        <v>17264</v>
      </c>
    </row>
    <row r="23" spans="1:65" s="77" customFormat="1" x14ac:dyDescent="0.2">
      <c r="A23" s="77" t="s">
        <v>44</v>
      </c>
      <c r="B23" s="77">
        <f t="shared" si="0"/>
        <v>0</v>
      </c>
      <c r="C23" s="76">
        <f t="shared" si="1"/>
        <v>0</v>
      </c>
      <c r="D23" s="206"/>
      <c r="E23" s="69"/>
      <c r="F23" s="69"/>
      <c r="G23" s="69"/>
      <c r="H23" s="207"/>
      <c r="I23" s="608"/>
      <c r="J23" s="208"/>
      <c r="K23" s="69"/>
      <c r="L23" s="69"/>
      <c r="M23" s="69"/>
      <c r="N23" s="69"/>
      <c r="O23" s="207">
        <f t="shared" si="7"/>
        <v>0</v>
      </c>
      <c r="P23" s="608"/>
      <c r="Q23" s="208">
        <f t="shared" si="8"/>
        <v>0</v>
      </c>
      <c r="R23" s="29"/>
      <c r="S23" s="69"/>
      <c r="T23" s="69"/>
      <c r="U23" s="69"/>
      <c r="V23" s="207">
        <f t="shared" si="9"/>
        <v>0</v>
      </c>
      <c r="W23" s="69"/>
      <c r="X23" s="209">
        <f t="shared" si="10"/>
        <v>0</v>
      </c>
      <c r="Y23" s="206"/>
      <c r="Z23" s="69"/>
      <c r="AA23" s="69"/>
      <c r="AB23" s="69"/>
      <c r="AC23" s="207">
        <f t="shared" si="11"/>
        <v>0</v>
      </c>
      <c r="AD23" s="608"/>
      <c r="AE23" s="208">
        <f t="shared" si="12"/>
        <v>0</v>
      </c>
      <c r="AF23" s="206"/>
      <c r="AG23" s="69"/>
      <c r="AH23" s="69"/>
      <c r="AI23" s="69"/>
      <c r="AJ23" s="207">
        <f t="shared" si="13"/>
        <v>0</v>
      </c>
      <c r="AK23" s="98"/>
      <c r="AL23" s="208">
        <f t="shared" si="14"/>
        <v>0</v>
      </c>
      <c r="AM23" s="206"/>
      <c r="AN23" s="69"/>
      <c r="AO23" s="69"/>
      <c r="AP23" s="69"/>
      <c r="AQ23" s="207">
        <f t="shared" si="15"/>
        <v>0</v>
      </c>
      <c r="AR23" s="608"/>
      <c r="AS23" s="208">
        <f t="shared" si="16"/>
        <v>0</v>
      </c>
      <c r="AT23" s="210"/>
      <c r="AU23" s="69"/>
      <c r="AV23" s="69"/>
      <c r="AW23" s="69"/>
      <c r="AX23" s="207">
        <f t="shared" si="17"/>
        <v>0</v>
      </c>
      <c r="AY23" s="610"/>
      <c r="AZ23" s="208">
        <f t="shared" si="18"/>
        <v>0</v>
      </c>
      <c r="BA23" s="69"/>
      <c r="BB23" s="69"/>
      <c r="BC23" s="69"/>
      <c r="BD23" s="69"/>
      <c r="BE23" s="207">
        <f t="shared" si="19"/>
        <v>0</v>
      </c>
      <c r="BF23" s="610"/>
      <c r="BG23" s="211">
        <f t="shared" si="20"/>
        <v>0</v>
      </c>
      <c r="BH23" s="212">
        <f t="shared" si="2"/>
        <v>0</v>
      </c>
      <c r="BI23" s="69">
        <f t="shared" si="3"/>
        <v>0</v>
      </c>
      <c r="BJ23" s="69">
        <f t="shared" si="4"/>
        <v>0</v>
      </c>
      <c r="BK23" s="69">
        <f t="shared" si="5"/>
        <v>0</v>
      </c>
      <c r="BL23" s="207">
        <f t="shared" si="21"/>
        <v>0</v>
      </c>
      <c r="BM23" s="213">
        <f t="shared" si="6"/>
        <v>0</v>
      </c>
    </row>
    <row r="24" spans="1:65" s="77" customFormat="1" x14ac:dyDescent="0.2">
      <c r="A24" s="77" t="s">
        <v>51</v>
      </c>
      <c r="B24" s="77">
        <f t="shared" si="0"/>
        <v>113</v>
      </c>
      <c r="C24" s="76">
        <f t="shared" si="1"/>
        <v>27928</v>
      </c>
      <c r="D24" s="206"/>
      <c r="E24" s="69"/>
      <c r="F24" s="69"/>
      <c r="G24" s="69"/>
      <c r="H24" s="207"/>
      <c r="I24" s="612">
        <v>290</v>
      </c>
      <c r="J24" s="208"/>
      <c r="K24" s="206"/>
      <c r="L24" s="69"/>
      <c r="M24" s="69"/>
      <c r="N24" s="69"/>
      <c r="O24" s="207">
        <f t="shared" si="7"/>
        <v>0</v>
      </c>
      <c r="P24" s="612">
        <v>337</v>
      </c>
      <c r="Q24" s="208">
        <f t="shared" si="8"/>
        <v>0</v>
      </c>
      <c r="R24" s="29">
        <v>48</v>
      </c>
      <c r="S24" s="69"/>
      <c r="T24" s="69"/>
      <c r="U24" s="69"/>
      <c r="V24" s="207">
        <f t="shared" si="9"/>
        <v>48</v>
      </c>
      <c r="W24" s="522">
        <v>311</v>
      </c>
      <c r="X24" s="209">
        <f t="shared" si="10"/>
        <v>14928</v>
      </c>
      <c r="Y24" s="206">
        <v>65</v>
      </c>
      <c r="Z24" s="69"/>
      <c r="AA24" s="69"/>
      <c r="AB24" s="69"/>
      <c r="AC24" s="207">
        <f t="shared" si="11"/>
        <v>65</v>
      </c>
      <c r="AD24" s="612">
        <v>200</v>
      </c>
      <c r="AE24" s="208">
        <f t="shared" si="12"/>
        <v>13000</v>
      </c>
      <c r="AF24" s="206"/>
      <c r="AG24" s="69"/>
      <c r="AH24" s="69"/>
      <c r="AI24" s="69"/>
      <c r="AJ24" s="207">
        <f>SUM(AG24:AI24)</f>
        <v>0</v>
      </c>
      <c r="AK24" s="615">
        <v>282</v>
      </c>
      <c r="AL24" s="208">
        <f t="shared" si="14"/>
        <v>0</v>
      </c>
      <c r="AM24" s="206"/>
      <c r="AN24" s="69"/>
      <c r="AO24" s="69"/>
      <c r="AP24" s="69"/>
      <c r="AQ24" s="207">
        <f t="shared" si="15"/>
        <v>0</v>
      </c>
      <c r="AR24" s="612">
        <v>487</v>
      </c>
      <c r="AS24" s="208">
        <f t="shared" si="16"/>
        <v>0</v>
      </c>
      <c r="AT24" s="210"/>
      <c r="AU24" s="69"/>
      <c r="AV24" s="69"/>
      <c r="AW24" s="69"/>
      <c r="AX24" s="207">
        <f t="shared" si="17"/>
        <v>0</v>
      </c>
      <c r="AY24" s="610"/>
      <c r="AZ24" s="208">
        <f t="shared" si="18"/>
        <v>0</v>
      </c>
      <c r="BA24" s="69"/>
      <c r="BB24" s="69"/>
      <c r="BC24" s="69"/>
      <c r="BD24" s="69"/>
      <c r="BE24" s="207">
        <f t="shared" si="19"/>
        <v>0</v>
      </c>
      <c r="BF24" s="610"/>
      <c r="BG24" s="211">
        <f t="shared" si="20"/>
        <v>0</v>
      </c>
      <c r="BH24" s="212">
        <f t="shared" si="2"/>
        <v>113</v>
      </c>
      <c r="BI24" s="69">
        <f t="shared" si="3"/>
        <v>0</v>
      </c>
      <c r="BJ24" s="69">
        <f t="shared" si="4"/>
        <v>0</v>
      </c>
      <c r="BK24" s="69">
        <f t="shared" si="5"/>
        <v>0</v>
      </c>
      <c r="BL24" s="207">
        <f t="shared" si="21"/>
        <v>113</v>
      </c>
      <c r="BM24" s="213">
        <f t="shared" si="6"/>
        <v>27928</v>
      </c>
    </row>
    <row r="25" spans="1:65" s="77" customFormat="1" ht="13.5" thickBot="1" x14ac:dyDescent="0.25">
      <c r="A25" s="77" t="s">
        <v>45</v>
      </c>
      <c r="B25" s="77">
        <f t="shared" si="0"/>
        <v>0</v>
      </c>
      <c r="C25" s="76">
        <f t="shared" si="1"/>
        <v>0</v>
      </c>
      <c r="D25" s="214"/>
      <c r="E25" s="215"/>
      <c r="F25" s="215"/>
      <c r="G25" s="215"/>
      <c r="H25" s="216"/>
      <c r="I25" s="215"/>
      <c r="J25" s="217"/>
      <c r="K25" s="214"/>
      <c r="L25" s="215"/>
      <c r="M25" s="215"/>
      <c r="N25" s="215"/>
      <c r="O25" s="216">
        <f t="shared" si="7"/>
        <v>0</v>
      </c>
      <c r="P25" s="609"/>
      <c r="Q25" s="217">
        <f>O25*P25</f>
        <v>0</v>
      </c>
      <c r="R25" s="214"/>
      <c r="S25" s="215"/>
      <c r="T25" s="215"/>
      <c r="U25" s="215"/>
      <c r="V25" s="216">
        <f t="shared" si="9"/>
        <v>0</v>
      </c>
      <c r="W25" s="215"/>
      <c r="X25" s="218">
        <f>V25*W25</f>
        <v>0</v>
      </c>
      <c r="Y25" s="214"/>
      <c r="Z25" s="215"/>
      <c r="AA25" s="215"/>
      <c r="AB25" s="215"/>
      <c r="AC25" s="216">
        <f t="shared" si="11"/>
        <v>0</v>
      </c>
      <c r="AD25" s="609"/>
      <c r="AE25" s="217">
        <f>AC25*AD25</f>
        <v>0</v>
      </c>
      <c r="AF25" s="214"/>
      <c r="AG25" s="215"/>
      <c r="AH25" s="215"/>
      <c r="AI25" s="215"/>
      <c r="AJ25" s="216">
        <f t="shared" si="13"/>
        <v>0</v>
      </c>
      <c r="AK25" s="220"/>
      <c r="AL25" s="217">
        <f>AJ25*AK25</f>
        <v>0</v>
      </c>
      <c r="AM25" s="214"/>
      <c r="AN25" s="215"/>
      <c r="AO25" s="215"/>
      <c r="AP25" s="215"/>
      <c r="AQ25" s="216">
        <f t="shared" si="15"/>
        <v>0</v>
      </c>
      <c r="AR25" s="609"/>
      <c r="AS25" s="217">
        <f>AQ25*AR25</f>
        <v>0</v>
      </c>
      <c r="AT25" s="219"/>
      <c r="AU25" s="215"/>
      <c r="AV25" s="215"/>
      <c r="AW25" s="215"/>
      <c r="AX25" s="216">
        <f>SUM(AU25:AW25)</f>
        <v>0</v>
      </c>
      <c r="AY25" s="611"/>
      <c r="AZ25" s="217">
        <f>AX25*AY25</f>
        <v>0</v>
      </c>
      <c r="BA25" s="221"/>
      <c r="BB25" s="215"/>
      <c r="BC25" s="215"/>
      <c r="BD25" s="215"/>
      <c r="BE25" s="216">
        <f t="shared" si="19"/>
        <v>0</v>
      </c>
      <c r="BF25" s="611"/>
      <c r="BG25" s="222">
        <f>BE25*BF25</f>
        <v>0</v>
      </c>
      <c r="BH25" s="223">
        <f t="shared" si="2"/>
        <v>0</v>
      </c>
      <c r="BI25" s="224">
        <f t="shared" si="3"/>
        <v>0</v>
      </c>
      <c r="BJ25" s="224">
        <f t="shared" si="4"/>
        <v>0</v>
      </c>
      <c r="BK25" s="225">
        <f t="shared" si="5"/>
        <v>0</v>
      </c>
      <c r="BL25" s="226">
        <f t="shared" si="21"/>
        <v>0</v>
      </c>
      <c r="BM25" s="227">
        <f t="shared" si="6"/>
        <v>0</v>
      </c>
    </row>
    <row r="26" spans="1:65" x14ac:dyDescent="0.2">
      <c r="A26" t="s">
        <v>5</v>
      </c>
      <c r="B26" s="52">
        <f>SUM(B5:B21)</f>
        <v>5413</v>
      </c>
      <c r="C26" s="52">
        <f>SUM(C5:C25)</f>
        <v>1999532</v>
      </c>
      <c r="E26" s="77"/>
      <c r="I26" s="613" t="s">
        <v>1033</v>
      </c>
      <c r="P26" s="613" t="s">
        <v>1033</v>
      </c>
      <c r="W26" s="614" t="s">
        <v>1033</v>
      </c>
      <c r="AD26" s="614" t="s">
        <v>1033</v>
      </c>
      <c r="AK26" s="614" t="s">
        <v>1033</v>
      </c>
      <c r="AR26" s="614" t="s">
        <v>1033</v>
      </c>
      <c r="AY26" s="614" t="s">
        <v>1033</v>
      </c>
      <c r="BF26" s="614" t="s">
        <v>1033</v>
      </c>
      <c r="BH26" s="52"/>
      <c r="BI26" s="52"/>
      <c r="BJ26" s="52"/>
      <c r="BK26" s="52"/>
      <c r="BL26" s="52">
        <f>SUM(BL5:BL21)</f>
        <v>5413</v>
      </c>
      <c r="BM26" s="52">
        <f>SUM(BM5:BM25)</f>
        <v>1999532</v>
      </c>
    </row>
    <row r="27" spans="1:65" x14ac:dyDescent="0.2">
      <c r="AK27" s="8"/>
    </row>
    <row r="28" spans="1:65" s="8" customFormat="1" ht="24" customHeight="1" x14ac:dyDescent="0.25">
      <c r="A28" s="525" t="s">
        <v>84</v>
      </c>
      <c r="B28" s="483"/>
      <c r="C28" s="483"/>
      <c r="X28" s="484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2"/>
  <sheetViews>
    <sheetView zoomScaleNormal="100" workbookViewId="0">
      <pane ySplit="1" topLeftCell="A38" activePane="bottomLeft" state="frozen"/>
      <selection pane="bottomLeft" activeCell="D78" sqref="D78"/>
    </sheetView>
  </sheetViews>
  <sheetFormatPr baseColWidth="10" defaultRowHeight="12.75" x14ac:dyDescent="0.2"/>
  <cols>
    <col min="1" max="1" width="27.7109375" style="528" customWidth="1"/>
    <col min="2" max="2" width="10.5703125" style="528" bestFit="1" customWidth="1"/>
    <col min="3" max="3" width="10.5703125" style="528" customWidth="1"/>
    <col min="4" max="4" width="10.5703125" style="528" bestFit="1" customWidth="1"/>
    <col min="5" max="5" width="10.5703125" style="528" customWidth="1"/>
    <col min="6" max="6" width="10.5703125" style="528" bestFit="1" customWidth="1"/>
    <col min="7" max="7" width="10.5703125" style="528" customWidth="1"/>
    <col min="8" max="8" width="10.5703125" style="528" bestFit="1" customWidth="1"/>
    <col min="9" max="9" width="10.5703125" style="528" customWidth="1"/>
    <col min="10" max="10" width="10.5703125" style="528" bestFit="1" customWidth="1"/>
    <col min="11" max="11" width="12.7109375" style="528" bestFit="1" customWidth="1"/>
    <col min="12" max="16384" width="11.42578125" style="528"/>
  </cols>
  <sheetData>
    <row r="1" spans="1:12" s="527" customFormat="1" ht="31.5" x14ac:dyDescent="0.25">
      <c r="A1" s="526" t="s">
        <v>1005</v>
      </c>
      <c r="B1" s="526"/>
      <c r="C1" s="563" t="s">
        <v>855</v>
      </c>
      <c r="D1" s="529"/>
      <c r="E1" s="563" t="s">
        <v>856</v>
      </c>
      <c r="F1" s="529"/>
      <c r="G1" s="563" t="s">
        <v>857</v>
      </c>
      <c r="H1" s="529"/>
      <c r="I1" s="563" t="s">
        <v>858</v>
      </c>
      <c r="J1" s="529"/>
      <c r="K1" s="563" t="s">
        <v>859</v>
      </c>
    </row>
    <row r="2" spans="1:12" s="527" customFormat="1" ht="15.75" x14ac:dyDescent="0.25">
      <c r="A2" s="526"/>
      <c r="B2" s="526"/>
      <c r="C2" s="528" t="s">
        <v>743</v>
      </c>
      <c r="D2" s="528"/>
      <c r="E2" s="528" t="s">
        <v>743</v>
      </c>
      <c r="F2" s="528"/>
      <c r="G2" s="528" t="s">
        <v>743</v>
      </c>
      <c r="H2" s="528"/>
      <c r="I2" s="528" t="s">
        <v>743</v>
      </c>
      <c r="J2" s="528"/>
      <c r="K2" s="528" t="s">
        <v>743</v>
      </c>
    </row>
    <row r="3" spans="1:12" x14ac:dyDescent="0.2">
      <c r="A3" s="528" t="s">
        <v>744</v>
      </c>
      <c r="C3" s="549">
        <f>C$55</f>
        <v>454754</v>
      </c>
      <c r="E3" s="549">
        <f>E$55</f>
        <v>0</v>
      </c>
      <c r="G3" s="549">
        <f>G$55</f>
        <v>0</v>
      </c>
      <c r="I3" s="549">
        <f>I$55</f>
        <v>0</v>
      </c>
      <c r="K3" s="390">
        <f t="shared" ref="K3:K10" si="0">SUM(C3:I3)</f>
        <v>454754</v>
      </c>
    </row>
    <row r="4" spans="1:12" x14ac:dyDescent="0.2">
      <c r="A4" s="390" t="s">
        <v>114</v>
      </c>
      <c r="B4" s="549"/>
      <c r="C4" s="549">
        <f>C$62</f>
        <v>205002</v>
      </c>
      <c r="D4" s="541"/>
      <c r="E4" s="549">
        <f>E$62</f>
        <v>0</v>
      </c>
      <c r="F4" s="541"/>
      <c r="G4" s="549">
        <f>G$62</f>
        <v>0</v>
      </c>
      <c r="H4" s="541"/>
      <c r="I4" s="549">
        <f>I$62</f>
        <v>0</v>
      </c>
      <c r="J4" s="541"/>
      <c r="K4" s="390">
        <f>SUM(C4:I4)</f>
        <v>205002</v>
      </c>
    </row>
    <row r="5" spans="1:12" x14ac:dyDescent="0.2">
      <c r="A5" s="390" t="s">
        <v>899</v>
      </c>
      <c r="B5" s="541"/>
      <c r="C5" s="549">
        <f>C$69</f>
        <v>3437124</v>
      </c>
      <c r="D5" s="541"/>
      <c r="E5" s="549">
        <f>E$69</f>
        <v>0</v>
      </c>
      <c r="F5" s="541"/>
      <c r="G5" s="549">
        <f>G$69</f>
        <v>0</v>
      </c>
      <c r="H5" s="541"/>
      <c r="I5" s="549">
        <f>I$69</f>
        <v>0</v>
      </c>
      <c r="J5" s="541"/>
      <c r="K5" s="390">
        <f t="shared" si="0"/>
        <v>3437124</v>
      </c>
      <c r="L5" s="541"/>
    </row>
    <row r="6" spans="1:12" x14ac:dyDescent="0.2">
      <c r="A6" s="390" t="s">
        <v>20</v>
      </c>
      <c r="B6" s="549"/>
      <c r="C6" s="549">
        <f>C$76</f>
        <v>467222</v>
      </c>
      <c r="D6" s="541"/>
      <c r="E6" s="549">
        <f>E$76</f>
        <v>0</v>
      </c>
      <c r="F6" s="541"/>
      <c r="G6" s="549">
        <f>G$76</f>
        <v>0</v>
      </c>
      <c r="H6" s="541"/>
      <c r="I6" s="549">
        <f>I$76</f>
        <v>0</v>
      </c>
      <c r="J6" s="541"/>
      <c r="K6" s="390">
        <f t="shared" si="0"/>
        <v>467222</v>
      </c>
    </row>
    <row r="7" spans="1:12" x14ac:dyDescent="0.2">
      <c r="A7" s="390" t="s">
        <v>2</v>
      </c>
      <c r="B7" s="549"/>
      <c r="C7" s="549">
        <f>C$83</f>
        <v>2531890</v>
      </c>
      <c r="D7" s="541"/>
      <c r="E7" s="549">
        <f>E$83</f>
        <v>0</v>
      </c>
      <c r="F7" s="541"/>
      <c r="G7" s="549">
        <f>G$83</f>
        <v>0</v>
      </c>
      <c r="H7" s="541"/>
      <c r="I7" s="549">
        <f>I$83</f>
        <v>0</v>
      </c>
      <c r="J7" s="541"/>
      <c r="K7" s="390">
        <f t="shared" si="0"/>
        <v>2531890</v>
      </c>
    </row>
    <row r="8" spans="1:12" x14ac:dyDescent="0.2">
      <c r="A8" s="390" t="s">
        <v>150</v>
      </c>
      <c r="B8" s="541"/>
      <c r="C8" s="549">
        <f>C$90</f>
        <v>2678303</v>
      </c>
      <c r="D8" s="541"/>
      <c r="E8" s="549">
        <f>E$90</f>
        <v>0</v>
      </c>
      <c r="F8" s="541"/>
      <c r="G8" s="549">
        <f>G$90</f>
        <v>0</v>
      </c>
      <c r="H8" s="541"/>
      <c r="I8" s="549">
        <f>I$90</f>
        <v>0</v>
      </c>
      <c r="J8" s="541"/>
      <c r="K8" s="390">
        <f t="shared" si="0"/>
        <v>2678303</v>
      </c>
    </row>
    <row r="9" spans="1:12" x14ac:dyDescent="0.2">
      <c r="A9" s="390" t="s">
        <v>654</v>
      </c>
      <c r="B9" s="541"/>
      <c r="C9" s="549">
        <f>C$97</f>
        <v>5275205</v>
      </c>
      <c r="D9" s="541"/>
      <c r="E9" s="549">
        <f>E$97</f>
        <v>0</v>
      </c>
      <c r="F9" s="541"/>
      <c r="G9" s="549">
        <f>G$97</f>
        <v>0</v>
      </c>
      <c r="H9" s="541"/>
      <c r="I9" s="549">
        <f>I$97</f>
        <v>0</v>
      </c>
      <c r="J9" s="541"/>
      <c r="K9" s="390">
        <f t="shared" si="0"/>
        <v>5275205</v>
      </c>
    </row>
    <row r="10" spans="1:12" x14ac:dyDescent="0.2">
      <c r="A10" s="390" t="s">
        <v>4</v>
      </c>
      <c r="B10" s="541"/>
      <c r="C10" s="549">
        <f>C$104</f>
        <v>728243</v>
      </c>
      <c r="D10" s="541"/>
      <c r="E10" s="549">
        <f>E$104</f>
        <v>0</v>
      </c>
      <c r="F10" s="541"/>
      <c r="G10" s="549">
        <f>G$104</f>
        <v>0</v>
      </c>
      <c r="H10" s="541"/>
      <c r="I10" s="549">
        <f>I$104</f>
        <v>0</v>
      </c>
      <c r="J10" s="541"/>
      <c r="K10" s="390">
        <f t="shared" si="0"/>
        <v>728243</v>
      </c>
    </row>
    <row r="11" spans="1:12" x14ac:dyDescent="0.2">
      <c r="A11" s="390" t="s">
        <v>104</v>
      </c>
      <c r="B11" s="541"/>
      <c r="C11" s="549">
        <f>C$111</f>
        <v>3586471</v>
      </c>
      <c r="D11" s="541"/>
      <c r="E11" s="549">
        <f>E$111</f>
        <v>0</v>
      </c>
      <c r="F11" s="541"/>
      <c r="G11" s="549">
        <f>G$111</f>
        <v>0</v>
      </c>
      <c r="H11" s="541"/>
      <c r="I11" s="549">
        <f>I$111</f>
        <v>0</v>
      </c>
      <c r="J11" s="541"/>
      <c r="K11" s="390">
        <f>SUM(C11:I11)</f>
        <v>3586471</v>
      </c>
    </row>
    <row r="12" spans="1:12" x14ac:dyDescent="0.2">
      <c r="A12" s="390"/>
      <c r="B12" s="541"/>
      <c r="C12" s="390"/>
      <c r="D12" s="541"/>
      <c r="E12" s="390"/>
      <c r="F12" s="541"/>
      <c r="G12" s="390"/>
      <c r="H12" s="541"/>
      <c r="I12" s="390"/>
      <c r="J12" s="541"/>
      <c r="K12" s="390"/>
    </row>
    <row r="13" spans="1:12" x14ac:dyDescent="0.2">
      <c r="A13" s="390" t="s">
        <v>5</v>
      </c>
      <c r="B13" s="541"/>
      <c r="C13" s="390">
        <f>SUM(C3:C11)</f>
        <v>19364214</v>
      </c>
      <c r="D13" s="541"/>
      <c r="E13" s="541">
        <f>SUM(E3:E11)</f>
        <v>0</v>
      </c>
      <c r="F13" s="541"/>
      <c r="G13" s="541">
        <f>SUM(G3:G11)</f>
        <v>0</v>
      </c>
      <c r="H13" s="541"/>
      <c r="I13" s="541">
        <f>SUM(I3:I11)</f>
        <v>0</v>
      </c>
      <c r="J13" s="541"/>
      <c r="K13" s="390">
        <f>SUM(K3:K11)</f>
        <v>19364214</v>
      </c>
    </row>
    <row r="14" spans="1:12" x14ac:dyDescent="0.2">
      <c r="A14" s="390"/>
      <c r="B14" s="390"/>
      <c r="C14" s="541"/>
      <c r="D14" s="390"/>
      <c r="E14" s="541"/>
      <c r="F14" s="390"/>
      <c r="G14" s="541"/>
      <c r="H14" s="390"/>
      <c r="I14" s="541"/>
    </row>
    <row r="15" spans="1:12" x14ac:dyDescent="0.2">
      <c r="A15" s="390"/>
      <c r="B15" s="390"/>
      <c r="C15" s="541"/>
      <c r="D15" s="390"/>
      <c r="E15" s="541"/>
      <c r="F15" s="390"/>
      <c r="G15" s="541"/>
      <c r="H15" s="390"/>
      <c r="I15" s="541"/>
    </row>
    <row r="16" spans="1:12" x14ac:dyDescent="0.2">
      <c r="A16" s="390"/>
      <c r="B16" s="390"/>
      <c r="C16" s="541"/>
      <c r="D16" s="390"/>
      <c r="E16" s="541"/>
      <c r="F16" s="390"/>
      <c r="G16" s="541"/>
      <c r="H16" s="390"/>
      <c r="I16" s="541"/>
    </row>
    <row r="17" spans="1:9" x14ac:dyDescent="0.2">
      <c r="A17" s="390"/>
      <c r="B17" s="390"/>
      <c r="C17" s="541"/>
      <c r="D17" s="390"/>
      <c r="E17" s="541"/>
      <c r="F17" s="390"/>
      <c r="G17" s="541"/>
      <c r="H17" s="390"/>
      <c r="I17" s="541"/>
    </row>
    <row r="18" spans="1:9" x14ac:dyDescent="0.2">
      <c r="A18" s="390"/>
      <c r="B18" s="390"/>
      <c r="C18" s="541"/>
      <c r="D18" s="390"/>
      <c r="E18" s="541"/>
      <c r="F18" s="390"/>
      <c r="G18" s="541"/>
      <c r="H18" s="390"/>
      <c r="I18" s="541"/>
    </row>
    <row r="19" spans="1:9" x14ac:dyDescent="0.2">
      <c r="A19" s="390"/>
      <c r="B19" s="390"/>
      <c r="C19" s="541"/>
      <c r="D19" s="390"/>
      <c r="E19" s="541"/>
      <c r="F19" s="390"/>
      <c r="G19" s="541"/>
      <c r="H19" s="390"/>
      <c r="I19" s="541"/>
    </row>
    <row r="20" spans="1:9" x14ac:dyDescent="0.2">
      <c r="A20" s="390"/>
      <c r="B20" s="390"/>
      <c r="C20" s="541"/>
      <c r="D20" s="390"/>
      <c r="E20" s="541"/>
      <c r="F20" s="390"/>
      <c r="G20" s="541"/>
      <c r="H20" s="390"/>
      <c r="I20" s="541"/>
    </row>
    <row r="21" spans="1:9" x14ac:dyDescent="0.2">
      <c r="A21" s="390"/>
      <c r="B21" s="390"/>
      <c r="C21" s="541"/>
      <c r="D21" s="390"/>
      <c r="E21" s="541"/>
      <c r="F21" s="390"/>
      <c r="G21" s="541"/>
      <c r="H21" s="390"/>
      <c r="I21" s="541"/>
    </row>
    <row r="22" spans="1:9" x14ac:dyDescent="0.2">
      <c r="A22" s="390"/>
      <c r="B22" s="390"/>
      <c r="C22" s="541"/>
      <c r="D22" s="390"/>
      <c r="E22" s="541"/>
      <c r="F22" s="390"/>
      <c r="G22" s="541"/>
      <c r="H22" s="390"/>
      <c r="I22" s="541"/>
    </row>
    <row r="23" spans="1:9" x14ac:dyDescent="0.2">
      <c r="A23" s="390"/>
      <c r="B23" s="390"/>
      <c r="C23" s="541"/>
      <c r="D23" s="390"/>
      <c r="E23" s="541"/>
      <c r="F23" s="390"/>
      <c r="G23" s="541"/>
      <c r="H23" s="390"/>
      <c r="I23" s="541"/>
    </row>
    <row r="24" spans="1:9" x14ac:dyDescent="0.2">
      <c r="A24" s="390"/>
      <c r="B24" s="390"/>
      <c r="C24" s="541"/>
      <c r="D24" s="390"/>
      <c r="E24" s="541"/>
      <c r="F24" s="390"/>
      <c r="G24" s="541"/>
      <c r="H24" s="390"/>
      <c r="I24" s="541"/>
    </row>
    <row r="25" spans="1:9" x14ac:dyDescent="0.2">
      <c r="A25" s="390"/>
      <c r="B25" s="390"/>
      <c r="C25" s="541"/>
      <c r="D25" s="390"/>
      <c r="E25" s="541"/>
      <c r="F25" s="390"/>
      <c r="G25" s="541"/>
      <c r="H25" s="390"/>
      <c r="I25" s="541"/>
    </row>
    <row r="26" spans="1:9" x14ac:dyDescent="0.2">
      <c r="A26" s="390"/>
      <c r="B26" s="390"/>
      <c r="C26" s="541"/>
      <c r="D26" s="390"/>
      <c r="E26" s="541"/>
      <c r="F26" s="390"/>
      <c r="G26" s="541"/>
      <c r="H26" s="390"/>
      <c r="I26" s="541"/>
    </row>
    <row r="27" spans="1:9" x14ac:dyDescent="0.2">
      <c r="A27" s="390"/>
      <c r="B27" s="390"/>
      <c r="C27" s="541"/>
      <c r="D27" s="390"/>
      <c r="E27" s="541"/>
      <c r="F27" s="390"/>
      <c r="G27" s="541"/>
      <c r="H27" s="390"/>
      <c r="I27" s="541"/>
    </row>
    <row r="28" spans="1:9" x14ac:dyDescent="0.2">
      <c r="A28" s="390"/>
      <c r="B28" s="390"/>
      <c r="C28" s="541"/>
      <c r="D28" s="390"/>
      <c r="E28" s="541"/>
      <c r="F28" s="390"/>
      <c r="G28" s="541"/>
      <c r="H28" s="390"/>
      <c r="I28" s="541"/>
    </row>
    <row r="29" spans="1:9" x14ac:dyDescent="0.2">
      <c r="A29" s="390"/>
      <c r="B29" s="390"/>
      <c r="C29" s="541"/>
      <c r="D29" s="390"/>
      <c r="E29" s="541"/>
      <c r="F29" s="390"/>
      <c r="G29" s="541"/>
      <c r="H29" s="390"/>
      <c r="I29" s="541"/>
    </row>
    <row r="30" spans="1:9" x14ac:dyDescent="0.2">
      <c r="A30" s="390"/>
      <c r="B30" s="390"/>
      <c r="C30" s="541"/>
      <c r="D30" s="390"/>
      <c r="E30" s="541"/>
      <c r="F30" s="390"/>
      <c r="G30" s="541"/>
      <c r="H30" s="390"/>
      <c r="I30" s="541"/>
    </row>
    <row r="31" spans="1:9" x14ac:dyDescent="0.2">
      <c r="A31" s="390"/>
      <c r="B31" s="390"/>
      <c r="C31" s="541"/>
      <c r="D31" s="390"/>
      <c r="E31" s="541"/>
      <c r="F31" s="390"/>
      <c r="G31" s="541"/>
      <c r="H31" s="390"/>
      <c r="I31" s="541"/>
    </row>
    <row r="32" spans="1:9" x14ac:dyDescent="0.2">
      <c r="A32" s="390"/>
      <c r="B32" s="390"/>
      <c r="C32" s="541"/>
      <c r="D32" s="390"/>
      <c r="E32" s="541"/>
      <c r="F32" s="390"/>
      <c r="G32" s="541"/>
      <c r="H32" s="390"/>
      <c r="I32" s="541"/>
    </row>
    <row r="33" spans="1:11" x14ac:dyDescent="0.2">
      <c r="A33" s="390"/>
      <c r="B33" s="390"/>
      <c r="C33" s="541"/>
      <c r="D33" s="390"/>
      <c r="E33" s="541"/>
      <c r="F33" s="390"/>
      <c r="G33" s="541"/>
      <c r="H33" s="390"/>
      <c r="I33" s="541"/>
    </row>
    <row r="34" spans="1:11" x14ac:dyDescent="0.2">
      <c r="A34" s="390"/>
      <c r="B34" s="390"/>
      <c r="C34" s="541"/>
      <c r="D34" s="390"/>
      <c r="E34" s="541"/>
      <c r="F34" s="390"/>
      <c r="G34" s="541"/>
      <c r="H34" s="390"/>
      <c r="I34" s="541"/>
    </row>
    <row r="35" spans="1:11" x14ac:dyDescent="0.2">
      <c r="A35" s="390"/>
      <c r="B35" s="390"/>
      <c r="C35" s="541"/>
      <c r="D35" s="390"/>
      <c r="E35" s="541"/>
      <c r="F35" s="390"/>
      <c r="G35" s="541"/>
      <c r="H35" s="390"/>
      <c r="I35" s="541"/>
    </row>
    <row r="36" spans="1:11" x14ac:dyDescent="0.2">
      <c r="A36" s="390"/>
      <c r="B36" s="390"/>
      <c r="C36" s="541"/>
      <c r="D36" s="390"/>
      <c r="E36" s="541"/>
      <c r="F36" s="390"/>
      <c r="G36" s="541"/>
      <c r="H36" s="390"/>
      <c r="I36" s="541"/>
    </row>
    <row r="37" spans="1:11" x14ac:dyDescent="0.2">
      <c r="A37" s="390"/>
      <c r="B37" s="390"/>
      <c r="C37" s="541"/>
      <c r="D37" s="390"/>
      <c r="E37" s="541"/>
      <c r="F37" s="390"/>
      <c r="G37" s="541"/>
      <c r="H37" s="390"/>
      <c r="I37" s="541"/>
    </row>
    <row r="38" spans="1:11" x14ac:dyDescent="0.2">
      <c r="A38" s="390"/>
      <c r="B38" s="390"/>
      <c r="C38" s="541"/>
      <c r="D38" s="390"/>
      <c r="E38" s="541"/>
      <c r="F38" s="390"/>
      <c r="G38" s="541"/>
      <c r="H38" s="390"/>
      <c r="I38" s="541"/>
    </row>
    <row r="39" spans="1:11" x14ac:dyDescent="0.2">
      <c r="A39" s="541"/>
      <c r="B39" s="541"/>
      <c r="C39" s="541"/>
      <c r="D39" s="541"/>
      <c r="E39" s="541"/>
      <c r="F39" s="541"/>
      <c r="G39" s="541"/>
      <c r="H39" s="541"/>
      <c r="I39" s="541"/>
    </row>
    <row r="40" spans="1:11" x14ac:dyDescent="0.2">
      <c r="A40" s="541"/>
      <c r="B40" s="541"/>
      <c r="C40" s="541"/>
      <c r="D40" s="541"/>
      <c r="E40" s="541"/>
      <c r="F40" s="541"/>
      <c r="G40" s="541"/>
      <c r="H40" s="541"/>
      <c r="I40" s="541"/>
    </row>
    <row r="41" spans="1:11" x14ac:dyDescent="0.2">
      <c r="A41" s="541"/>
      <c r="B41" s="541"/>
      <c r="C41" s="541"/>
      <c r="D41" s="541"/>
      <c r="E41" s="541"/>
      <c r="F41" s="541"/>
      <c r="G41" s="541"/>
      <c r="H41" s="541"/>
      <c r="I41" s="541"/>
    </row>
    <row r="42" spans="1:11" x14ac:dyDescent="0.2">
      <c r="A42" s="541"/>
      <c r="B42" s="541"/>
      <c r="C42" s="541"/>
      <c r="D42" s="541"/>
      <c r="E42" s="541"/>
      <c r="F42" s="541"/>
      <c r="G42" s="541"/>
      <c r="H42" s="541"/>
      <c r="I42" s="541"/>
    </row>
    <row r="43" spans="1:11" x14ac:dyDescent="0.2">
      <c r="A43" s="541"/>
      <c r="B43" s="541"/>
      <c r="C43" s="541"/>
      <c r="D43" s="541"/>
      <c r="E43" s="541"/>
      <c r="F43" s="541"/>
      <c r="G43" s="541"/>
      <c r="H43" s="541"/>
      <c r="I43" s="541"/>
    </row>
    <row r="44" spans="1:11" x14ac:dyDescent="0.2">
      <c r="A44" s="541"/>
      <c r="B44" s="541"/>
      <c r="C44" s="541"/>
      <c r="D44" s="541"/>
      <c r="E44" s="541"/>
      <c r="F44" s="541"/>
      <c r="G44" s="541"/>
      <c r="H44" s="541"/>
      <c r="I44" s="541"/>
    </row>
    <row r="45" spans="1:11" x14ac:dyDescent="0.2">
      <c r="A45" s="390"/>
      <c r="B45" s="390"/>
      <c r="C45" s="541"/>
      <c r="D45" s="390"/>
      <c r="E45" s="541"/>
      <c r="F45" s="390"/>
      <c r="G45" s="541"/>
      <c r="H45" s="390"/>
      <c r="I45" s="541"/>
    </row>
    <row r="46" spans="1:11" x14ac:dyDescent="0.2">
      <c r="A46" s="83" t="s">
        <v>797</v>
      </c>
      <c r="B46" s="11" t="s">
        <v>745</v>
      </c>
      <c r="C46" s="11" t="s">
        <v>745</v>
      </c>
      <c r="D46" s="83" t="s">
        <v>709</v>
      </c>
      <c r="E46" s="83" t="s">
        <v>709</v>
      </c>
      <c r="F46" s="11" t="s">
        <v>73</v>
      </c>
      <c r="G46" s="11" t="s">
        <v>73</v>
      </c>
      <c r="H46" s="11" t="s">
        <v>74</v>
      </c>
      <c r="I46" s="11" t="s">
        <v>74</v>
      </c>
      <c r="J46" s="542" t="s">
        <v>489</v>
      </c>
      <c r="K46" s="542" t="s">
        <v>489</v>
      </c>
    </row>
    <row r="47" spans="1:11" x14ac:dyDescent="0.2">
      <c r="A47" s="54" t="s">
        <v>34</v>
      </c>
      <c r="B47" s="11" t="s">
        <v>7</v>
      </c>
      <c r="C47" s="83" t="s">
        <v>798</v>
      </c>
      <c r="D47" s="11" t="s">
        <v>7</v>
      </c>
      <c r="E47" s="83" t="s">
        <v>798</v>
      </c>
      <c r="F47" s="11" t="s">
        <v>7</v>
      </c>
      <c r="G47" s="83" t="s">
        <v>798</v>
      </c>
      <c r="H47" s="11" t="s">
        <v>7</v>
      </c>
      <c r="I47" s="83" t="s">
        <v>798</v>
      </c>
      <c r="J47" s="95" t="s">
        <v>7</v>
      </c>
      <c r="K47" s="542" t="s">
        <v>798</v>
      </c>
    </row>
    <row r="48" spans="1:11" x14ac:dyDescent="0.2">
      <c r="A48" s="54"/>
      <c r="B48" s="11"/>
      <c r="C48" s="11"/>
      <c r="D48" s="11"/>
      <c r="E48" s="11"/>
      <c r="F48" s="11"/>
      <c r="G48" s="11"/>
      <c r="H48" s="11"/>
      <c r="I48" s="11"/>
      <c r="J48" s="95"/>
      <c r="K48" s="542" t="s">
        <v>57</v>
      </c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30"/>
      <c r="K49" s="543"/>
    </row>
    <row r="50" spans="1:12" ht="15.75" x14ac:dyDescent="0.25">
      <c r="A50" s="14" t="s">
        <v>799</v>
      </c>
      <c r="B50" s="1"/>
      <c r="C50" s="1"/>
      <c r="D50" s="1"/>
      <c r="E50" s="1"/>
      <c r="F50" s="1"/>
      <c r="G50" s="1"/>
      <c r="H50" s="1"/>
      <c r="I50" s="1"/>
      <c r="J50" s="30"/>
      <c r="K50" s="543"/>
    </row>
    <row r="51" spans="1:12" x14ac:dyDescent="0.2">
      <c r="A51" s="1" t="s">
        <v>794</v>
      </c>
      <c r="B51" s="544">
        <v>64</v>
      </c>
      <c r="C51" s="77">
        <v>53435</v>
      </c>
      <c r="D51" s="585"/>
      <c r="E51" s="586"/>
      <c r="F51" s="544"/>
      <c r="G51" s="586"/>
      <c r="H51" s="546"/>
      <c r="I51" s="76"/>
      <c r="J51" s="589">
        <f t="shared" ref="J51:K54" si="1">B51+D51+F51+H51</f>
        <v>64</v>
      </c>
      <c r="K51" s="543">
        <f t="shared" si="1"/>
        <v>53435</v>
      </c>
    </row>
    <row r="52" spans="1:12" x14ac:dyDescent="0.2">
      <c r="A52" s="1" t="s">
        <v>795</v>
      </c>
      <c r="B52" s="544">
        <v>189</v>
      </c>
      <c r="C52" s="77">
        <v>200384</v>
      </c>
      <c r="D52" s="585"/>
      <c r="E52" s="586"/>
      <c r="F52" s="544"/>
      <c r="G52" s="586"/>
      <c r="H52" s="546"/>
      <c r="I52" s="76"/>
      <c r="J52" s="589">
        <f t="shared" si="1"/>
        <v>189</v>
      </c>
      <c r="K52" s="543">
        <f t="shared" si="1"/>
        <v>200384</v>
      </c>
    </row>
    <row r="53" spans="1:12" x14ac:dyDescent="0.2">
      <c r="A53" s="1" t="s">
        <v>796</v>
      </c>
      <c r="B53" s="544"/>
      <c r="C53" s="77">
        <v>200935</v>
      </c>
      <c r="D53" s="585"/>
      <c r="E53" s="558"/>
      <c r="F53" s="544"/>
      <c r="G53" s="558"/>
      <c r="H53" s="546"/>
      <c r="I53" s="76"/>
      <c r="J53" s="589">
        <f t="shared" si="1"/>
        <v>0</v>
      </c>
      <c r="K53" s="543">
        <f t="shared" si="1"/>
        <v>200935</v>
      </c>
    </row>
    <row r="54" spans="1:12" x14ac:dyDescent="0.2">
      <c r="A54" s="77" t="s">
        <v>170</v>
      </c>
      <c r="B54" s="545"/>
      <c r="C54" s="69"/>
      <c r="D54" s="545"/>
      <c r="E54" s="1"/>
      <c r="F54" s="545"/>
      <c r="G54" s="1"/>
      <c r="H54" s="547"/>
      <c r="I54" s="15"/>
      <c r="J54" s="589">
        <f t="shared" si="1"/>
        <v>0</v>
      </c>
      <c r="K54" s="543">
        <f t="shared" si="1"/>
        <v>0</v>
      </c>
    </row>
    <row r="55" spans="1:12" x14ac:dyDescent="0.2">
      <c r="A55" s="2" t="s">
        <v>5</v>
      </c>
      <c r="B55" s="75"/>
      <c r="C55" s="16">
        <f>SUM(C51:C54)</f>
        <v>454754</v>
      </c>
      <c r="D55" s="75"/>
      <c r="E55" s="16">
        <f>SUM(E51:E54)</f>
        <v>0</v>
      </c>
      <c r="F55" s="75"/>
      <c r="G55" s="16">
        <f>SUM(G51:G54)</f>
        <v>0</v>
      </c>
      <c r="H55" s="75"/>
      <c r="I55" s="16">
        <f>SUM(I51:I54)</f>
        <v>0</v>
      </c>
      <c r="J55" s="75"/>
      <c r="K55" s="16">
        <f>C55+E55+G55+I55</f>
        <v>454754</v>
      </c>
    </row>
    <row r="56" spans="1:12" x14ac:dyDescent="0.2">
      <c r="A56" s="9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2" ht="15.75" x14ac:dyDescent="0.25">
      <c r="A57" s="14" t="s">
        <v>114</v>
      </c>
      <c r="B57" s="1"/>
      <c r="C57" s="1"/>
      <c r="D57" s="1"/>
      <c r="E57" s="1"/>
      <c r="F57" s="1"/>
      <c r="G57" s="1"/>
      <c r="H57" s="1"/>
      <c r="I57" s="18"/>
      <c r="J57" s="18"/>
      <c r="K57" s="18"/>
    </row>
    <row r="58" spans="1:12" x14ac:dyDescent="0.2">
      <c r="A58" s="1" t="s">
        <v>794</v>
      </c>
      <c r="B58" s="544">
        <v>2</v>
      </c>
      <c r="C58" s="76">
        <v>5200</v>
      </c>
      <c r="D58" s="544"/>
      <c r="E58" s="76"/>
      <c r="F58" s="544"/>
      <c r="G58" s="76"/>
      <c r="H58" s="546"/>
      <c r="I58" s="76"/>
      <c r="J58" s="543">
        <f t="shared" ref="J58:K61" si="2">B58+D58+F58+H58</f>
        <v>2</v>
      </c>
      <c r="K58" s="543">
        <f t="shared" si="2"/>
        <v>5200</v>
      </c>
    </row>
    <row r="59" spans="1:12" x14ac:dyDescent="0.2">
      <c r="A59" s="1" t="s">
        <v>795</v>
      </c>
      <c r="B59" s="544">
        <v>80</v>
      </c>
      <c r="C59" s="76">
        <v>199802</v>
      </c>
      <c r="D59" s="544"/>
      <c r="E59" s="76"/>
      <c r="F59" s="544"/>
      <c r="G59" s="76"/>
      <c r="H59" s="546"/>
      <c r="I59" s="76"/>
      <c r="J59" s="543">
        <f t="shared" si="2"/>
        <v>80</v>
      </c>
      <c r="K59" s="543">
        <f t="shared" si="2"/>
        <v>199802</v>
      </c>
      <c r="L59" s="528" t="s">
        <v>800</v>
      </c>
    </row>
    <row r="60" spans="1:12" x14ac:dyDescent="0.2">
      <c r="A60" s="1" t="s">
        <v>796</v>
      </c>
      <c r="B60" s="545"/>
      <c r="C60" s="1"/>
      <c r="D60" s="545"/>
      <c r="E60" s="1"/>
      <c r="F60" s="545"/>
      <c r="G60" s="1"/>
      <c r="H60" s="547"/>
      <c r="I60" s="15"/>
      <c r="J60" s="543">
        <f t="shared" si="2"/>
        <v>0</v>
      </c>
      <c r="K60" s="543">
        <f t="shared" si="2"/>
        <v>0</v>
      </c>
    </row>
    <row r="61" spans="1:12" x14ac:dyDescent="0.2">
      <c r="A61" s="77" t="s">
        <v>170</v>
      </c>
      <c r="B61" s="545"/>
      <c r="C61" s="1"/>
      <c r="D61" s="545"/>
      <c r="E61" s="1"/>
      <c r="F61" s="545"/>
      <c r="G61" s="1"/>
      <c r="H61" s="547"/>
      <c r="I61" s="15"/>
      <c r="J61" s="543">
        <f t="shared" si="2"/>
        <v>0</v>
      </c>
      <c r="K61" s="543">
        <f t="shared" si="2"/>
        <v>0</v>
      </c>
    </row>
    <row r="62" spans="1:12" x14ac:dyDescent="0.2">
      <c r="A62" s="2" t="s">
        <v>5</v>
      </c>
      <c r="B62" s="75"/>
      <c r="C62" s="16">
        <f>SUM(C58:C61)</f>
        <v>205002</v>
      </c>
      <c r="D62" s="75"/>
      <c r="E62" s="16">
        <f>SUM(E58:E61)</f>
        <v>0</v>
      </c>
      <c r="F62" s="75"/>
      <c r="G62" s="16">
        <f>SUM(G58:G61)</f>
        <v>0</v>
      </c>
      <c r="H62" s="75"/>
      <c r="I62" s="16">
        <f>SUM(I58:I61)</f>
        <v>0</v>
      </c>
      <c r="J62" s="75"/>
      <c r="K62" s="16">
        <f>C62+E62+G62+I62</f>
        <v>205002</v>
      </c>
    </row>
    <row r="63" spans="1:12" x14ac:dyDescent="0.2">
      <c r="A63" s="9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2" ht="15.75" x14ac:dyDescent="0.25">
      <c r="A64" s="14" t="s">
        <v>853</v>
      </c>
      <c r="B64" s="1"/>
      <c r="C64" s="1"/>
      <c r="D64" s="1"/>
      <c r="E64" s="1"/>
      <c r="F64" s="1"/>
      <c r="G64" s="1"/>
      <c r="H64" s="1"/>
      <c r="I64" s="1"/>
    </row>
    <row r="65" spans="1:11" x14ac:dyDescent="0.2">
      <c r="A65" s="1" t="s">
        <v>794</v>
      </c>
      <c r="B65" s="544">
        <v>309</v>
      </c>
      <c r="C65" s="76">
        <v>293763</v>
      </c>
      <c r="D65" s="544"/>
      <c r="E65" s="76"/>
      <c r="F65" s="544"/>
      <c r="G65" s="76"/>
      <c r="H65" s="546"/>
      <c r="I65" s="76"/>
      <c r="J65" s="589">
        <f t="shared" ref="J65:K68" si="3">B65+D65+F65+H65</f>
        <v>309</v>
      </c>
      <c r="K65" s="543">
        <f t="shared" si="3"/>
        <v>293763</v>
      </c>
    </row>
    <row r="66" spans="1:11" x14ac:dyDescent="0.2">
      <c r="A66" s="1" t="s">
        <v>795</v>
      </c>
      <c r="B66" s="544">
        <v>1381</v>
      </c>
      <c r="C66" s="76">
        <v>3143361</v>
      </c>
      <c r="D66" s="544"/>
      <c r="E66" s="76"/>
      <c r="F66" s="544"/>
      <c r="G66" s="76"/>
      <c r="H66" s="546"/>
      <c r="I66" s="76"/>
      <c r="J66" s="589">
        <f t="shared" si="3"/>
        <v>1381</v>
      </c>
      <c r="K66" s="543">
        <f t="shared" si="3"/>
        <v>3143361</v>
      </c>
    </row>
    <row r="67" spans="1:11" x14ac:dyDescent="0.2">
      <c r="A67" s="1" t="s">
        <v>796</v>
      </c>
      <c r="B67" s="545"/>
      <c r="C67" s="76"/>
      <c r="D67" s="545"/>
      <c r="E67" s="76"/>
      <c r="F67" s="545"/>
      <c r="G67" s="76"/>
      <c r="H67" s="547"/>
      <c r="I67" s="15"/>
      <c r="J67" s="589">
        <f t="shared" si="3"/>
        <v>0</v>
      </c>
      <c r="K67" s="543">
        <f t="shared" si="3"/>
        <v>0</v>
      </c>
    </row>
    <row r="68" spans="1:11" x14ac:dyDescent="0.2">
      <c r="A68" s="77" t="s">
        <v>170</v>
      </c>
      <c r="B68" s="545"/>
      <c r="C68" s="76"/>
      <c r="D68" s="545"/>
      <c r="E68" s="76"/>
      <c r="F68" s="545"/>
      <c r="G68" s="76"/>
      <c r="H68" s="547"/>
      <c r="I68" s="15"/>
      <c r="J68" s="589">
        <f t="shared" si="3"/>
        <v>0</v>
      </c>
      <c r="K68" s="543">
        <f t="shared" si="3"/>
        <v>0</v>
      </c>
    </row>
    <row r="69" spans="1:11" x14ac:dyDescent="0.2">
      <c r="A69" s="2" t="s">
        <v>5</v>
      </c>
      <c r="B69" s="75"/>
      <c r="C69" s="16">
        <f>SUM(C65:C68)</f>
        <v>3437124</v>
      </c>
      <c r="D69" s="75"/>
      <c r="E69" s="16">
        <f>SUM(E65:E68)</f>
        <v>0</v>
      </c>
      <c r="F69" s="75"/>
      <c r="G69" s="16">
        <f>SUM(G65:G68)</f>
        <v>0</v>
      </c>
      <c r="H69" s="75"/>
      <c r="I69" s="16">
        <f>SUM(I65:I68)</f>
        <v>0</v>
      </c>
      <c r="J69" s="16">
        <f>SUM(J65:J68)</f>
        <v>1690</v>
      </c>
      <c r="K69" s="16">
        <f>C69+E69+G69+I69</f>
        <v>3437124</v>
      </c>
    </row>
    <row r="70" spans="1:11" x14ac:dyDescent="0.2">
      <c r="A70" s="1"/>
      <c r="B70" s="15"/>
      <c r="C70" s="15"/>
      <c r="D70" s="15"/>
      <c r="E70" s="15"/>
      <c r="F70" s="15"/>
      <c r="G70" s="15"/>
      <c r="H70" s="15"/>
      <c r="I70" s="15"/>
    </row>
    <row r="71" spans="1:11" ht="15.75" x14ac:dyDescent="0.25">
      <c r="A71" s="21" t="s">
        <v>20</v>
      </c>
      <c r="B71" s="15"/>
      <c r="C71" s="15"/>
      <c r="D71" s="15"/>
      <c r="E71" s="15"/>
      <c r="F71" s="15"/>
      <c r="G71" s="15"/>
      <c r="H71" s="15"/>
      <c r="I71" s="15"/>
      <c r="J71" s="32"/>
      <c r="K71" s="15"/>
    </row>
    <row r="72" spans="1:11" x14ac:dyDescent="0.2">
      <c r="A72" s="1" t="s">
        <v>794</v>
      </c>
      <c r="B72" s="544">
        <v>20</v>
      </c>
      <c r="C72" s="76">
        <v>36828</v>
      </c>
      <c r="D72" s="544"/>
      <c r="E72" s="77"/>
      <c r="F72" s="544"/>
      <c r="G72" s="69"/>
      <c r="H72" s="546"/>
      <c r="I72" s="76"/>
      <c r="J72" s="543">
        <f t="shared" ref="J72:K75" si="4">B72+D72+F72+H72</f>
        <v>20</v>
      </c>
      <c r="K72" s="543">
        <f t="shared" si="4"/>
        <v>36828</v>
      </c>
    </row>
    <row r="73" spans="1:11" x14ac:dyDescent="0.2">
      <c r="A73" s="1" t="s">
        <v>795</v>
      </c>
      <c r="B73" s="544">
        <v>101</v>
      </c>
      <c r="C73" s="76">
        <v>322433</v>
      </c>
      <c r="D73" s="544"/>
      <c r="E73" s="77"/>
      <c r="F73" s="544"/>
      <c r="G73" s="69"/>
      <c r="H73" s="546"/>
      <c r="I73" s="76"/>
      <c r="J73" s="543">
        <f t="shared" si="4"/>
        <v>101</v>
      </c>
      <c r="K73" s="543">
        <f t="shared" si="4"/>
        <v>322433</v>
      </c>
    </row>
    <row r="74" spans="1:11" x14ac:dyDescent="0.2">
      <c r="A74" s="1" t="s">
        <v>796</v>
      </c>
      <c r="B74" s="544">
        <v>698</v>
      </c>
      <c r="C74" s="76">
        <v>107961</v>
      </c>
      <c r="D74" s="544"/>
      <c r="E74" s="77"/>
      <c r="F74" s="544"/>
      <c r="G74" s="69"/>
      <c r="H74" s="546"/>
      <c r="I74" s="76"/>
      <c r="J74" s="543">
        <f t="shared" si="4"/>
        <v>698</v>
      </c>
      <c r="K74" s="543">
        <f t="shared" si="4"/>
        <v>107961</v>
      </c>
    </row>
    <row r="75" spans="1:11" x14ac:dyDescent="0.2">
      <c r="A75" s="77" t="s">
        <v>170</v>
      </c>
      <c r="B75" s="545"/>
      <c r="C75" s="1"/>
      <c r="D75" s="545"/>
      <c r="E75" s="1"/>
      <c r="F75" s="545"/>
      <c r="G75" s="1"/>
      <c r="H75" s="547"/>
      <c r="I75" s="15"/>
      <c r="J75" s="543">
        <f t="shared" si="4"/>
        <v>0</v>
      </c>
      <c r="K75" s="543">
        <f t="shared" si="4"/>
        <v>0</v>
      </c>
    </row>
    <row r="76" spans="1:11" x14ac:dyDescent="0.2">
      <c r="A76" s="2" t="s">
        <v>5</v>
      </c>
      <c r="B76" s="75"/>
      <c r="C76" s="16">
        <f>SUM(C72:C75)</f>
        <v>467222</v>
      </c>
      <c r="D76" s="75"/>
      <c r="E76" s="16">
        <f>SUM(E72:E75)</f>
        <v>0</v>
      </c>
      <c r="F76" s="75"/>
      <c r="G76" s="16">
        <f>SUM(G72:G75)</f>
        <v>0</v>
      </c>
      <c r="H76" s="75"/>
      <c r="I76" s="16">
        <f>SUM(I72:I75)</f>
        <v>0</v>
      </c>
      <c r="J76" s="75"/>
      <c r="K76" s="16">
        <f>C76+E76+G76+I76</f>
        <v>467222</v>
      </c>
    </row>
    <row r="77" spans="1:11" x14ac:dyDescent="0.2">
      <c r="A77" s="18"/>
      <c r="B77" s="18"/>
      <c r="C77" s="18"/>
      <c r="D77" s="18"/>
      <c r="E77" s="18"/>
      <c r="F77" s="18"/>
      <c r="G77" s="18"/>
      <c r="H77" s="18"/>
      <c r="I77" s="18"/>
    </row>
    <row r="78" spans="1:11" ht="15.75" x14ac:dyDescent="0.25">
      <c r="A78" s="14" t="s">
        <v>2</v>
      </c>
      <c r="B78" s="1"/>
      <c r="C78" s="1"/>
      <c r="D78" s="1"/>
      <c r="E78" s="1"/>
      <c r="F78" s="1"/>
      <c r="G78" s="1"/>
      <c r="H78" s="1"/>
      <c r="I78" s="1"/>
    </row>
    <row r="79" spans="1:11" x14ac:dyDescent="0.2">
      <c r="A79" s="1" t="s">
        <v>794</v>
      </c>
      <c r="B79" s="544">
        <v>200</v>
      </c>
      <c r="C79" s="87">
        <v>242000</v>
      </c>
      <c r="D79" s="544"/>
      <c r="E79" s="87"/>
      <c r="F79" s="544"/>
      <c r="G79" s="87"/>
      <c r="H79" s="546"/>
      <c r="I79" s="76"/>
      <c r="J79" s="543">
        <f t="shared" ref="J79:K82" si="5">B79+D79+F79+H79</f>
        <v>200</v>
      </c>
      <c r="K79" s="543">
        <f t="shared" si="5"/>
        <v>242000</v>
      </c>
    </row>
    <row r="80" spans="1:11" x14ac:dyDescent="0.2">
      <c r="A80" s="1" t="s">
        <v>795</v>
      </c>
      <c r="B80" s="544">
        <v>924</v>
      </c>
      <c r="C80" s="87">
        <v>1950000</v>
      </c>
      <c r="D80" s="544"/>
      <c r="E80" s="87"/>
      <c r="F80" s="544"/>
      <c r="G80" s="87"/>
      <c r="H80" s="546"/>
      <c r="I80" s="76"/>
      <c r="J80" s="543">
        <f t="shared" si="5"/>
        <v>924</v>
      </c>
      <c r="K80" s="543">
        <f t="shared" si="5"/>
        <v>1950000</v>
      </c>
    </row>
    <row r="81" spans="1:11" x14ac:dyDescent="0.2">
      <c r="A81" s="1" t="s">
        <v>796</v>
      </c>
      <c r="B81" s="544">
        <v>1054</v>
      </c>
      <c r="C81" s="87">
        <v>221340</v>
      </c>
      <c r="D81" s="544"/>
      <c r="E81" s="87"/>
      <c r="F81" s="544"/>
      <c r="G81" s="87"/>
      <c r="H81" s="546"/>
      <c r="I81" s="76"/>
      <c r="J81" s="543">
        <f t="shared" si="5"/>
        <v>1054</v>
      </c>
      <c r="K81" s="543">
        <f t="shared" si="5"/>
        <v>221340</v>
      </c>
    </row>
    <row r="82" spans="1:11" x14ac:dyDescent="0.2">
      <c r="A82" s="77" t="s">
        <v>170</v>
      </c>
      <c r="B82" s="544">
        <v>45</v>
      </c>
      <c r="C82" s="76">
        <v>118550</v>
      </c>
      <c r="D82" s="545"/>
      <c r="E82" s="15"/>
      <c r="F82" s="545"/>
      <c r="G82" s="15"/>
      <c r="H82" s="547"/>
      <c r="I82" s="15"/>
      <c r="J82" s="543">
        <f t="shared" si="5"/>
        <v>45</v>
      </c>
      <c r="K82" s="543">
        <f t="shared" si="5"/>
        <v>118550</v>
      </c>
    </row>
    <row r="83" spans="1:11" x14ac:dyDescent="0.2">
      <c r="A83" s="2" t="s">
        <v>5</v>
      </c>
      <c r="B83" s="75"/>
      <c r="C83" s="16">
        <f>SUM(C79:C82)</f>
        <v>2531890</v>
      </c>
      <c r="D83" s="75"/>
      <c r="E83" s="16">
        <f>SUM(E79:E82)</f>
        <v>0</v>
      </c>
      <c r="F83" s="75"/>
      <c r="G83" s="16">
        <f>SUM(G79:G82)</f>
        <v>0</v>
      </c>
      <c r="H83" s="75"/>
      <c r="I83" s="16">
        <f>SUM(I79:I82)</f>
        <v>0</v>
      </c>
      <c r="J83" s="16">
        <f>SUM(J79:J82)</f>
        <v>2223</v>
      </c>
      <c r="K83" s="16">
        <f>C83+E83+G83+I83</f>
        <v>2531890</v>
      </c>
    </row>
    <row r="84" spans="1:11" x14ac:dyDescent="0.2">
      <c r="A84" s="9"/>
      <c r="B84" s="18"/>
      <c r="C84" s="18"/>
      <c r="D84" s="18"/>
      <c r="E84" s="18"/>
      <c r="F84" s="18"/>
      <c r="G84" s="18"/>
      <c r="H84" s="18"/>
      <c r="I84" s="18"/>
    </row>
    <row r="85" spans="1:11" ht="15.75" x14ac:dyDescent="0.25">
      <c r="A85" s="21" t="s">
        <v>150</v>
      </c>
      <c r="B85" s="15"/>
      <c r="C85" s="15"/>
      <c r="D85" s="15"/>
      <c r="E85" s="15"/>
      <c r="F85" s="15"/>
      <c r="G85" s="15"/>
      <c r="H85" s="15"/>
      <c r="I85" s="15"/>
    </row>
    <row r="86" spans="1:11" x14ac:dyDescent="0.2">
      <c r="A86" s="1" t="s">
        <v>794</v>
      </c>
      <c r="B86" s="544">
        <v>413</v>
      </c>
      <c r="C86" s="87">
        <v>180583</v>
      </c>
      <c r="D86" s="544"/>
      <c r="E86" s="87"/>
      <c r="F86" s="544"/>
      <c r="G86" s="77"/>
      <c r="H86" s="546"/>
      <c r="I86" s="76"/>
      <c r="J86" s="543">
        <f t="shared" ref="J86:K89" si="6">B86+D86+F86+H86</f>
        <v>413</v>
      </c>
      <c r="K86" s="543">
        <f t="shared" si="6"/>
        <v>180583</v>
      </c>
    </row>
    <row r="87" spans="1:11" x14ac:dyDescent="0.2">
      <c r="A87" s="1" t="s">
        <v>795</v>
      </c>
      <c r="B87" s="544">
        <v>737</v>
      </c>
      <c r="C87" s="87">
        <v>1779087</v>
      </c>
      <c r="D87" s="544"/>
      <c r="E87" s="87"/>
      <c r="F87" s="544"/>
      <c r="G87" s="77"/>
      <c r="H87" s="546"/>
      <c r="I87" s="76"/>
      <c r="J87" s="543">
        <f t="shared" si="6"/>
        <v>737</v>
      </c>
      <c r="K87" s="543">
        <f t="shared" si="6"/>
        <v>1779087</v>
      </c>
    </row>
    <row r="88" spans="1:11" x14ac:dyDescent="0.2">
      <c r="A88" s="1" t="s">
        <v>796</v>
      </c>
      <c r="B88" s="544">
        <v>1099</v>
      </c>
      <c r="C88" s="87">
        <v>259623</v>
      </c>
      <c r="D88" s="544"/>
      <c r="E88" s="87"/>
      <c r="F88" s="544"/>
      <c r="G88" s="1"/>
      <c r="H88" s="546"/>
      <c r="I88" s="76"/>
      <c r="J88" s="543">
        <f t="shared" si="6"/>
        <v>1099</v>
      </c>
      <c r="K88" s="543">
        <f t="shared" si="6"/>
        <v>259623</v>
      </c>
    </row>
    <row r="89" spans="1:11" x14ac:dyDescent="0.2">
      <c r="A89" s="77" t="s">
        <v>170</v>
      </c>
      <c r="B89" s="544">
        <v>143</v>
      </c>
      <c r="C89" s="87">
        <v>459010</v>
      </c>
      <c r="D89" s="544"/>
      <c r="E89" s="87"/>
      <c r="F89" s="544"/>
      <c r="G89" s="1"/>
      <c r="H89" s="546"/>
      <c r="I89" s="76"/>
      <c r="J89" s="543">
        <f t="shared" si="6"/>
        <v>143</v>
      </c>
      <c r="K89" s="543">
        <f t="shared" si="6"/>
        <v>459010</v>
      </c>
    </row>
    <row r="90" spans="1:11" x14ac:dyDescent="0.2">
      <c r="A90" s="2" t="s">
        <v>5</v>
      </c>
      <c r="B90" s="75"/>
      <c r="C90" s="16">
        <f>SUM(C86:C89)</f>
        <v>2678303</v>
      </c>
      <c r="D90" s="75"/>
      <c r="E90" s="16">
        <f>SUM(E86:E89)</f>
        <v>0</v>
      </c>
      <c r="F90" s="75"/>
      <c r="G90" s="16">
        <f>SUM(G86:G89)</f>
        <v>0</v>
      </c>
      <c r="H90" s="75"/>
      <c r="I90" s="16">
        <f>SUM(I86:I89)</f>
        <v>0</v>
      </c>
      <c r="J90" s="16">
        <f>SUM(J86:J89)</f>
        <v>2392</v>
      </c>
      <c r="K90" s="16">
        <f>C90+E90+G90+I90</f>
        <v>2678303</v>
      </c>
    </row>
    <row r="91" spans="1:11" x14ac:dyDescent="0.2">
      <c r="A91" s="18"/>
      <c r="B91" s="18"/>
      <c r="C91" s="18"/>
      <c r="D91" s="18"/>
      <c r="E91" s="18"/>
      <c r="F91" s="18"/>
      <c r="G91" s="18"/>
      <c r="H91" s="18"/>
      <c r="I91" s="18"/>
    </row>
    <row r="92" spans="1:11" ht="15.75" x14ac:dyDescent="0.25">
      <c r="A92" s="21" t="s">
        <v>654</v>
      </c>
      <c r="B92" s="15"/>
      <c r="C92" s="15"/>
      <c r="D92" s="15"/>
      <c r="E92" s="15"/>
      <c r="F92" s="15"/>
      <c r="G92" s="15"/>
      <c r="H92" s="15"/>
      <c r="I92" s="15"/>
    </row>
    <row r="93" spans="1:11" x14ac:dyDescent="0.2">
      <c r="A93" s="1" t="s">
        <v>794</v>
      </c>
      <c r="B93" s="544">
        <v>429</v>
      </c>
      <c r="C93" s="87">
        <v>465497</v>
      </c>
      <c r="D93" s="544"/>
      <c r="E93" s="87"/>
      <c r="F93" s="544"/>
      <c r="G93" s="69"/>
      <c r="H93" s="546"/>
      <c r="I93" s="76"/>
      <c r="J93" s="543">
        <f t="shared" ref="J93:K96" si="7">B93+D93+F93+H93</f>
        <v>429</v>
      </c>
      <c r="K93" s="543">
        <f t="shared" si="7"/>
        <v>465497</v>
      </c>
    </row>
    <row r="94" spans="1:11" x14ac:dyDescent="0.2">
      <c r="A94" s="1" t="s">
        <v>795</v>
      </c>
      <c r="B94" s="544">
        <v>948</v>
      </c>
      <c r="C94" s="87">
        <v>2974041</v>
      </c>
      <c r="D94" s="544"/>
      <c r="E94" s="87"/>
      <c r="F94" s="544"/>
      <c r="G94" s="69"/>
      <c r="H94" s="546"/>
      <c r="I94" s="76"/>
      <c r="J94" s="543">
        <f t="shared" si="7"/>
        <v>948</v>
      </c>
      <c r="K94" s="543">
        <f t="shared" si="7"/>
        <v>2974041</v>
      </c>
    </row>
    <row r="95" spans="1:11" x14ac:dyDescent="0.2">
      <c r="A95" s="1" t="s">
        <v>796</v>
      </c>
      <c r="B95" s="544">
        <v>644</v>
      </c>
      <c r="C95" s="87">
        <v>69606</v>
      </c>
      <c r="D95" s="544"/>
      <c r="E95" s="87"/>
      <c r="F95" s="544"/>
      <c r="G95" s="69"/>
      <c r="H95" s="546"/>
      <c r="I95" s="76"/>
      <c r="J95" s="543">
        <f t="shared" si="7"/>
        <v>644</v>
      </c>
      <c r="K95" s="543">
        <f t="shared" si="7"/>
        <v>69606</v>
      </c>
    </row>
    <row r="96" spans="1:11" x14ac:dyDescent="0.2">
      <c r="A96" s="77" t="s">
        <v>170</v>
      </c>
      <c r="B96" s="544">
        <v>274</v>
      </c>
      <c r="C96" s="87">
        <v>1766061</v>
      </c>
      <c r="D96" s="544"/>
      <c r="E96" s="87"/>
      <c r="F96" s="544"/>
      <c r="G96" s="69"/>
      <c r="H96" s="546"/>
      <c r="I96" s="76"/>
      <c r="J96" s="543">
        <f t="shared" si="7"/>
        <v>274</v>
      </c>
      <c r="K96" s="543">
        <f t="shared" si="7"/>
        <v>1766061</v>
      </c>
    </row>
    <row r="97" spans="1:11" x14ac:dyDescent="0.2">
      <c r="A97" s="2" t="s">
        <v>5</v>
      </c>
      <c r="B97" s="75"/>
      <c r="C97" s="16">
        <f>SUM(C93:C96)</f>
        <v>5275205</v>
      </c>
      <c r="D97" s="75"/>
      <c r="E97" s="16">
        <f>SUM(E93:E96)</f>
        <v>0</v>
      </c>
      <c r="F97" s="75"/>
      <c r="G97" s="16">
        <f>SUM(G93:G96)</f>
        <v>0</v>
      </c>
      <c r="H97" s="75"/>
      <c r="I97" s="16">
        <f>SUM(I93:I96)</f>
        <v>0</v>
      </c>
      <c r="J97" s="16">
        <f>SUM(J93:J96)</f>
        <v>2295</v>
      </c>
      <c r="K97" s="16">
        <f>C97+E97+G97+I97</f>
        <v>5275205</v>
      </c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11" ht="15.75" x14ac:dyDescent="0.25">
      <c r="A99" s="21" t="s">
        <v>4</v>
      </c>
      <c r="B99" s="15"/>
      <c r="C99" s="15"/>
      <c r="D99" s="15"/>
      <c r="E99" s="15"/>
      <c r="F99" s="15"/>
      <c r="G99" s="15"/>
      <c r="H99" s="15"/>
      <c r="I99" s="15"/>
    </row>
    <row r="100" spans="1:11" x14ac:dyDescent="0.2">
      <c r="A100" s="1" t="s">
        <v>794</v>
      </c>
      <c r="B100" s="544">
        <v>171</v>
      </c>
      <c r="C100" s="87">
        <v>155718</v>
      </c>
      <c r="D100" s="544"/>
      <c r="E100" s="87"/>
      <c r="F100" s="544"/>
      <c r="G100" s="87"/>
      <c r="H100" s="546"/>
      <c r="I100" s="76"/>
      <c r="J100" s="543">
        <f t="shared" ref="J100:K103" si="8">B100+D100+F100+H100</f>
        <v>171</v>
      </c>
      <c r="K100" s="543">
        <f t="shared" si="8"/>
        <v>155718</v>
      </c>
    </row>
    <row r="101" spans="1:11" x14ac:dyDescent="0.2">
      <c r="A101" s="1" t="s">
        <v>795</v>
      </c>
      <c r="B101" s="544">
        <v>169</v>
      </c>
      <c r="C101" s="87">
        <v>453285</v>
      </c>
      <c r="D101" s="544"/>
      <c r="E101" s="87"/>
      <c r="F101" s="544"/>
      <c r="G101" s="87"/>
      <c r="H101" s="546"/>
      <c r="I101" s="76"/>
      <c r="J101" s="543">
        <f t="shared" si="8"/>
        <v>169</v>
      </c>
      <c r="K101" s="543">
        <f t="shared" si="8"/>
        <v>453285</v>
      </c>
    </row>
    <row r="102" spans="1:11" x14ac:dyDescent="0.2">
      <c r="A102" s="1" t="s">
        <v>796</v>
      </c>
      <c r="B102" s="544">
        <f>261+185</f>
        <v>446</v>
      </c>
      <c r="C102" s="87">
        <f>69815+49425</f>
        <v>119240</v>
      </c>
      <c r="D102" s="545"/>
      <c r="E102" s="87"/>
      <c r="F102" s="545"/>
      <c r="G102" s="87"/>
      <c r="H102" s="546"/>
      <c r="I102" s="76"/>
      <c r="J102" s="543">
        <f t="shared" si="8"/>
        <v>446</v>
      </c>
      <c r="K102" s="543">
        <f t="shared" si="8"/>
        <v>119240</v>
      </c>
    </row>
    <row r="103" spans="1:11" x14ac:dyDescent="0.2">
      <c r="A103" s="77" t="s">
        <v>170</v>
      </c>
      <c r="B103" s="544"/>
      <c r="C103" s="87"/>
      <c r="D103" s="545"/>
      <c r="E103" s="87"/>
      <c r="F103" s="545"/>
      <c r="G103" s="87"/>
      <c r="H103" s="546"/>
      <c r="I103" s="76"/>
      <c r="J103" s="543">
        <f t="shared" si="8"/>
        <v>0</v>
      </c>
      <c r="K103" s="543">
        <f t="shared" si="8"/>
        <v>0</v>
      </c>
    </row>
    <row r="104" spans="1:11" x14ac:dyDescent="0.2">
      <c r="A104" s="2" t="s">
        <v>5</v>
      </c>
      <c r="B104" s="75"/>
      <c r="C104" s="16">
        <f>SUM(C100:C103)</f>
        <v>728243</v>
      </c>
      <c r="D104" s="75"/>
      <c r="E104" s="16">
        <f>SUM(E100:E103)</f>
        <v>0</v>
      </c>
      <c r="F104" s="75"/>
      <c r="G104" s="16">
        <f>SUM(G100:G103)</f>
        <v>0</v>
      </c>
      <c r="H104" s="75"/>
      <c r="I104" s="16">
        <f>SUM(I100:I103)</f>
        <v>0</v>
      </c>
      <c r="J104" s="75"/>
      <c r="K104" s="16">
        <f>C104+E104+G104+I104</f>
        <v>728243</v>
      </c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11" ht="15.75" x14ac:dyDescent="0.25">
      <c r="A106" s="14" t="s">
        <v>104</v>
      </c>
      <c r="B106" s="1"/>
      <c r="C106" s="1"/>
      <c r="D106" s="1"/>
      <c r="E106" s="1"/>
      <c r="F106" s="1"/>
      <c r="G106" s="1"/>
      <c r="H106" s="1"/>
      <c r="I106" s="1"/>
    </row>
    <row r="107" spans="1:11" x14ac:dyDescent="0.2">
      <c r="A107" s="1" t="s">
        <v>794</v>
      </c>
      <c r="B107" s="544">
        <v>867</v>
      </c>
      <c r="C107" s="87">
        <v>581438</v>
      </c>
      <c r="D107" s="544"/>
      <c r="E107" s="87"/>
      <c r="F107" s="544"/>
      <c r="G107" s="87"/>
      <c r="H107" s="546"/>
      <c r="I107" s="76"/>
      <c r="J107" s="543">
        <f t="shared" ref="J107:K110" si="9">B107+D107+F107+H107</f>
        <v>867</v>
      </c>
      <c r="K107" s="543">
        <f t="shared" si="9"/>
        <v>581438</v>
      </c>
    </row>
    <row r="108" spans="1:11" x14ac:dyDescent="0.2">
      <c r="A108" s="1" t="s">
        <v>795</v>
      </c>
      <c r="B108" s="544">
        <v>757</v>
      </c>
      <c r="C108" s="87">
        <v>1440397</v>
      </c>
      <c r="D108" s="544"/>
      <c r="E108" s="87"/>
      <c r="F108" s="544"/>
      <c r="G108" s="87"/>
      <c r="H108" s="546"/>
      <c r="I108" s="76"/>
      <c r="J108" s="543">
        <f t="shared" si="9"/>
        <v>757</v>
      </c>
      <c r="K108" s="543">
        <f t="shared" si="9"/>
        <v>1440397</v>
      </c>
    </row>
    <row r="109" spans="1:11" x14ac:dyDescent="0.2">
      <c r="A109" s="1" t="s">
        <v>796</v>
      </c>
      <c r="B109" s="544">
        <v>7563</v>
      </c>
      <c r="C109" s="87">
        <v>1561996</v>
      </c>
      <c r="D109" s="544"/>
      <c r="E109" s="87"/>
      <c r="F109" s="544"/>
      <c r="G109" s="87"/>
      <c r="H109" s="546"/>
      <c r="I109" s="76"/>
      <c r="J109" s="543">
        <f t="shared" si="9"/>
        <v>7563</v>
      </c>
      <c r="K109" s="543">
        <f t="shared" si="9"/>
        <v>1561996</v>
      </c>
    </row>
    <row r="110" spans="1:11" x14ac:dyDescent="0.2">
      <c r="A110" s="77" t="s">
        <v>170</v>
      </c>
      <c r="B110" s="544">
        <v>39</v>
      </c>
      <c r="C110" s="87">
        <v>2640</v>
      </c>
      <c r="D110" s="544"/>
      <c r="E110" s="87"/>
      <c r="F110" s="544"/>
      <c r="G110" s="87"/>
      <c r="H110" s="546"/>
      <c r="I110" s="76"/>
      <c r="J110" s="543">
        <f t="shared" si="9"/>
        <v>39</v>
      </c>
      <c r="K110" s="543">
        <f t="shared" si="9"/>
        <v>2640</v>
      </c>
    </row>
    <row r="111" spans="1:11" x14ac:dyDescent="0.2">
      <c r="A111" s="2" t="s">
        <v>5</v>
      </c>
      <c r="B111" s="75"/>
      <c r="C111" s="16">
        <f>SUM(C107:C110)</f>
        <v>3586471</v>
      </c>
      <c r="D111" s="75"/>
      <c r="E111" s="16">
        <f>SUM(E107:E110)</f>
        <v>0</v>
      </c>
      <c r="F111" s="75"/>
      <c r="G111" s="16">
        <f>SUM(G107:G110)</f>
        <v>0</v>
      </c>
      <c r="H111" s="75"/>
      <c r="I111" s="16">
        <f>SUM(I107:I110)</f>
        <v>0</v>
      </c>
      <c r="J111" s="75"/>
      <c r="K111" s="16">
        <f>C111+E111+G111+I111</f>
        <v>3586471</v>
      </c>
    </row>
    <row r="112" spans="1:11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13" x14ac:dyDescent="0.2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13" x14ac:dyDescent="0.2">
      <c r="A114" s="517"/>
      <c r="B114" s="517"/>
      <c r="C114" s="517"/>
      <c r="D114" s="517"/>
      <c r="E114" s="517"/>
      <c r="F114" s="517"/>
      <c r="G114" s="517"/>
      <c r="H114" s="517"/>
      <c r="I114" s="517"/>
      <c r="J114" s="518"/>
      <c r="K114" s="517"/>
    </row>
    <row r="115" spans="1:13" ht="15.75" x14ac:dyDescent="0.25">
      <c r="A115" s="14" t="s">
        <v>59</v>
      </c>
      <c r="B115" s="1"/>
      <c r="C115" s="1"/>
      <c r="D115" s="1"/>
      <c r="E115" s="1"/>
      <c r="F115" s="1"/>
      <c r="G115" s="1"/>
      <c r="H115" s="1"/>
      <c r="I115" s="1"/>
      <c r="J115" s="30"/>
      <c r="K115" s="550">
        <f>K55+K62+K69+K76+K83+K90+K97+K104+K111</f>
        <v>19364214</v>
      </c>
      <c r="L115" s="551">
        <f>$K$13</f>
        <v>19364214</v>
      </c>
      <c r="M115" s="551" t="s">
        <v>864</v>
      </c>
    </row>
    <row r="116" spans="1:1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30"/>
      <c r="K116" s="1"/>
    </row>
    <row r="117" spans="1:13" x14ac:dyDescent="0.2">
      <c r="A117" s="1" t="s">
        <v>794</v>
      </c>
      <c r="B117" s="77">
        <f t="shared" ref="B117:I117" si="10">SUMIF($A$51:$A$110,$A117,B$51:B$110)</f>
        <v>2475</v>
      </c>
      <c r="C117" s="76">
        <f t="shared" si="10"/>
        <v>2014462</v>
      </c>
      <c r="D117" s="77">
        <f t="shared" si="10"/>
        <v>0</v>
      </c>
      <c r="E117" s="76">
        <f t="shared" si="10"/>
        <v>0</v>
      </c>
      <c r="F117" s="77">
        <f t="shared" si="10"/>
        <v>0</v>
      </c>
      <c r="G117" s="76">
        <f t="shared" si="10"/>
        <v>0</v>
      </c>
      <c r="H117" s="77">
        <f t="shared" si="10"/>
        <v>0</v>
      </c>
      <c r="I117" s="76">
        <f t="shared" si="10"/>
        <v>0</v>
      </c>
      <c r="J117" s="553">
        <f>SUM(B117+D117+F117+H117)</f>
        <v>2475</v>
      </c>
      <c r="K117" s="76">
        <f>SUM(C117+E117+G117+I117)</f>
        <v>2014462</v>
      </c>
    </row>
    <row r="118" spans="1:13" x14ac:dyDescent="0.2">
      <c r="A118" s="1" t="s">
        <v>795</v>
      </c>
      <c r="B118" s="77">
        <f>SUMIF($A$51:$A$110,$A118,B$51:B$110)</f>
        <v>5286</v>
      </c>
      <c r="C118" s="76">
        <f>SUMIF($A$51:$A$111,$A118,C$51:C$111)</f>
        <v>12462790</v>
      </c>
      <c r="D118" s="77">
        <f>SUMIF($A$51:$A$110,$A118,D$51:D$110)</f>
        <v>0</v>
      </c>
      <c r="E118" s="76">
        <f>SUMIF($A$51:$A$111,$A118,E$51:E$111)</f>
        <v>0</v>
      </c>
      <c r="F118" s="77">
        <f>SUMIF($A$51:$A$110,$A118,F$51:F$110)</f>
        <v>0</v>
      </c>
      <c r="G118" s="76">
        <f>SUMIF($A$51:$A$111,$A118,G$51:G$111)</f>
        <v>0</v>
      </c>
      <c r="H118" s="77">
        <f>SUMIF($A$51:$A$110,$A118,H$51:H$110)</f>
        <v>0</v>
      </c>
      <c r="I118" s="76">
        <f>SUMIF($A$51:$A$111,$A118,I$51:I$111)</f>
        <v>0</v>
      </c>
      <c r="J118" s="553">
        <f t="shared" ref="J118:J120" si="11">SUM(B118+D118+F118+H118)</f>
        <v>5286</v>
      </c>
      <c r="K118" s="76">
        <f>SUM(C118+E118+G118+I118)</f>
        <v>12462790</v>
      </c>
    </row>
    <row r="119" spans="1:13" x14ac:dyDescent="0.2">
      <c r="A119" s="1" t="s">
        <v>796</v>
      </c>
      <c r="B119" s="77">
        <f>SUMIF($A$51:$A$110,$A119,B$51:B$110)</f>
        <v>11504</v>
      </c>
      <c r="C119" s="76">
        <f>SUMIF($A$51:$A$111,$A119,C$51:C$111)</f>
        <v>2540701</v>
      </c>
      <c r="D119" s="77">
        <f>SUMIF($A$51:$A$110,$A119,D$51:D$110)</f>
        <v>0</v>
      </c>
      <c r="E119" s="76">
        <f>SUMIF($A$51:$A$111,$A119,E$51:E$111)</f>
        <v>0</v>
      </c>
      <c r="F119" s="77">
        <f>SUMIF($A$51:$A$110,$A119,F$51:F$110)</f>
        <v>0</v>
      </c>
      <c r="G119" s="76">
        <f>SUMIF($A$51:$A$111,$A119,G$51:G$111)</f>
        <v>0</v>
      </c>
      <c r="H119" s="77">
        <f>SUMIF($A$51:$A$110,$A119,H$51:H$110)</f>
        <v>0</v>
      </c>
      <c r="I119" s="76">
        <f>SUMIF($A$51:$A$111,$A119,I$51:I$111)</f>
        <v>0</v>
      </c>
      <c r="J119" s="553">
        <f t="shared" si="11"/>
        <v>11504</v>
      </c>
      <c r="K119" s="76">
        <f>SUM(C119+E119+G119+I119)</f>
        <v>2540701</v>
      </c>
      <c r="L119" s="551" t="s">
        <v>863</v>
      </c>
    </row>
    <row r="120" spans="1:13" x14ac:dyDescent="0.2">
      <c r="A120" s="554" t="s">
        <v>170</v>
      </c>
      <c r="B120" s="554">
        <f>SUMIF($A$51:$A$110,$A120,B$51:B$110)</f>
        <v>501</v>
      </c>
      <c r="C120" s="555">
        <f>SUMIF($A$51:$A$111,$A120,C$51:C$111)</f>
        <v>2346261</v>
      </c>
      <c r="D120" s="554">
        <f>SUMIF($A$51:$A$110,$A120,D$51:D$110)</f>
        <v>0</v>
      </c>
      <c r="E120" s="555">
        <f>SUMIF($A$51:$A$111,$A120,E$51:E$111)</f>
        <v>0</v>
      </c>
      <c r="F120" s="554">
        <f>SUMIF($A$51:$A$110,$A120,F$51:F$110)</f>
        <v>0</v>
      </c>
      <c r="G120" s="555">
        <f>SUMIF($A$51:$A$111,$A120,G$51:G$111)</f>
        <v>0</v>
      </c>
      <c r="H120" s="554">
        <f>SUMIF($A$51:$A$110,$A120,H$51:H$110)</f>
        <v>0</v>
      </c>
      <c r="I120" s="555">
        <f>SUMIF($A$51:$A$111,$A120,I$51:I$111)</f>
        <v>0</v>
      </c>
      <c r="J120" s="556">
        <f t="shared" si="11"/>
        <v>501</v>
      </c>
      <c r="K120" s="555">
        <f>SUM(C120+E120+G120+I120)</f>
        <v>2346261</v>
      </c>
    </row>
    <row r="121" spans="1:13" x14ac:dyDescent="0.2">
      <c r="A121" s="9" t="s">
        <v>5</v>
      </c>
      <c r="B121" s="77"/>
      <c r="C121" s="76">
        <f>SUMIF($A$51:$A$111,$A121,C$51:C$111)</f>
        <v>19364214</v>
      </c>
      <c r="D121" s="77"/>
      <c r="E121" s="76">
        <f>SUMIF($A$51:$A$111,$A121,E$51:E$111)</f>
        <v>0</v>
      </c>
      <c r="F121" s="77"/>
      <c r="G121" s="76">
        <f>SUMIF($A$51:$A$111,$A121,G$51:G$111)</f>
        <v>0</v>
      </c>
      <c r="H121" s="77"/>
      <c r="I121" s="76">
        <f>SUMIF($A$51:$A$111,$A121,I$51:I$111)</f>
        <v>0</v>
      </c>
      <c r="J121" s="553"/>
      <c r="K121" s="76">
        <f>SUM(C121+E121+G121+I121)</f>
        <v>19364214</v>
      </c>
    </row>
    <row r="122" spans="1:13" x14ac:dyDescent="0.2">
      <c r="A122" s="24" t="s">
        <v>61</v>
      </c>
      <c r="B122" s="25"/>
      <c r="C122" s="552">
        <f>SUM(C117:C120)</f>
        <v>19364214</v>
      </c>
      <c r="D122" s="25"/>
      <c r="E122" s="552">
        <f>SUM(E117:E120)</f>
        <v>0</v>
      </c>
      <c r="F122" s="25"/>
      <c r="G122" s="552">
        <f>SUM(G117:G120)</f>
        <v>0</v>
      </c>
      <c r="H122" s="25"/>
      <c r="I122" s="552">
        <f>SUM(I117:I120)</f>
        <v>0</v>
      </c>
      <c r="J122" s="557"/>
      <c r="K122" s="26">
        <f>SUM(K117:K120)</f>
        <v>19364214</v>
      </c>
    </row>
  </sheetData>
  <pageMargins left="0.7" right="0.7" top="0.75" bottom="0.75" header="0.3" footer="0.3"/>
  <pageSetup paperSize="9" scale="65" orientation="portrait" horizontalDpi="4294967295" verticalDpi="4294967295" r:id="rId1"/>
  <rowBreaks count="1" manualBreakCount="1">
    <brk id="45" max="16383" man="1"/>
  </rowBreaks>
  <colBreaks count="1" manualBreakCount="1">
    <brk id="11" max="11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7</vt:i4>
      </vt:variant>
    </vt:vector>
  </HeadingPairs>
  <TitlesOfParts>
    <vt:vector size="12" baseType="lpstr">
      <vt:lpstr>Høreapparater</vt:lpstr>
      <vt:lpstr>Tinnitusmaskerere</vt:lpstr>
      <vt:lpstr>Reparasjoner</vt:lpstr>
      <vt:lpstr>Propper</vt:lpstr>
      <vt:lpstr>Tilbehør</vt:lpstr>
      <vt:lpstr>prisgrense</vt:lpstr>
      <vt:lpstr>Prisgrense_TM</vt:lpstr>
      <vt:lpstr>Høreapparater!Utskriftsområde</vt:lpstr>
      <vt:lpstr>Reparasjoner!Utskriftsområde</vt:lpstr>
      <vt:lpstr>Tilbehør!Utskriftsområde</vt:lpstr>
      <vt:lpstr>Tinnitusmaskerere!Utskriftsområde</vt:lpstr>
      <vt:lpstr>Høreapparater!Utskriftstitler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Høreapparater betalt av NAV</dc:title>
  <dc:subject>leverte høreapparater til RTV</dc:subject>
  <dc:creator>Oddbjørn Arntsen</dc:creator>
  <cp:lastModifiedBy>Arntsen, Oddbjørn</cp:lastModifiedBy>
  <cp:lastPrinted>2019-05-03T08:41:26Z</cp:lastPrinted>
  <dcterms:created xsi:type="dcterms:W3CDTF">2001-01-03T21:29:05Z</dcterms:created>
  <dcterms:modified xsi:type="dcterms:W3CDTF">2019-06-17T11:48:02Z</dcterms:modified>
</cp:coreProperties>
</file>